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31" windowWidth="11355" windowHeight="9120" firstSheet="18" activeTab="20"/>
  </bookViews>
  <sheets>
    <sheet name="1. mell.Bev. és kiad. összesen" sheetId="1" r:id="rId1"/>
    <sheet name="1. a. mell.Műk. bev. és kiad." sheetId="2" r:id="rId2"/>
    <sheet name="1.b. Felh. bev. és kiad." sheetId="3" r:id="rId3"/>
    <sheet name="2. mell. Önálló int. összesen" sheetId="4" r:id="rId4"/>
    <sheet name="2.a.1.óvodák" sheetId="5" r:id="rId5"/>
    <sheet name="2.a.2.iskolák" sheetId="6" r:id="rId6"/>
    <sheet name="2.a.3.GI-hez tartozó egyéb int." sheetId="7" r:id="rId7"/>
    <sheet name="2.b. felh. eng. kötött előir." sheetId="8" r:id="rId8"/>
    <sheet name="3.a.mell.intézményi felúj." sheetId="9" r:id="rId9"/>
    <sheet name="3.b.mell.Önko.felúj." sheetId="10" r:id="rId10"/>
    <sheet name="4.a.mell.intézményi.beruházás." sheetId="11" r:id="rId11"/>
    <sheet name="4.b.mell.Önko.beruházás" sheetId="12" r:id="rId12"/>
    <sheet name="5.mell.átadott" sheetId="13" r:id="rId13"/>
    <sheet name="6. mell.tartalékok" sheetId="14" r:id="rId14"/>
    <sheet name="7. mell. ei. felh. ütemterv" sheetId="15" r:id="rId15"/>
    <sheet name="8. mell.többéves kihat.beruh. " sheetId="16" r:id="rId16"/>
    <sheet name="9. mell,.közv. tám." sheetId="17" r:id="rId17"/>
    <sheet name="10.mell.Uniós programok" sheetId="18" r:id="rId18"/>
    <sheet name="11. mell. gördülő összesen" sheetId="19" r:id="rId19"/>
    <sheet name="11. a. mell. gördülő működési" sheetId="20" r:id="rId20"/>
    <sheet name="11. b. gördülő felhalmozási" sheetId="21" r:id="rId21"/>
  </sheets>
  <definedNames>
    <definedName name="_ftn1" localSheetId="16">'9. mell,.közv. tám.'!$A$54</definedName>
    <definedName name="_ftn2" localSheetId="16">'9. mell,.közv. tám.'!$A$56</definedName>
    <definedName name="_ftnref1" localSheetId="16">'9. mell,.közv. tám.'!$A$17</definedName>
    <definedName name="_ftnref2" localSheetId="16">'9. mell,.közv. tám.'!$A$19</definedName>
    <definedName name="_xlnm.Print_Titles" localSheetId="0">'1. mell.Bev. és kiad. összesen'!$1:$4</definedName>
    <definedName name="_xlnm.Print_Titles" localSheetId="19">'11. a. mell. gördülő működési'!$2:$4</definedName>
    <definedName name="_xlnm.Print_Titles" localSheetId="18">'11. mell. gördülő összesen'!$1:$2</definedName>
    <definedName name="_xlnm.Print_Titles" localSheetId="3">'2. mell. Önálló int. összesen'!$A:$B</definedName>
    <definedName name="_xlnm.Print_Titles" localSheetId="4">'2.a.1.óvodák'!$A:$B</definedName>
    <definedName name="_xlnm.Print_Titles" localSheetId="5">'2.a.2.iskolák'!$A:$B</definedName>
    <definedName name="_xlnm.Print_Titles" localSheetId="6">'2.a.3.GI-hez tartozó egyéb int.'!$A:$B</definedName>
    <definedName name="_xlnm.Print_Titles" localSheetId="10">'4.a.mell.intézményi.beruházás.'!$1:$1</definedName>
    <definedName name="_xlnm.Print_Titles" localSheetId="11">'4.b.mell.Önko.beruházás'!$1:$2</definedName>
    <definedName name="_xlnm.Print_Titles" localSheetId="12">'5.mell.átadott'!$1:$2</definedName>
    <definedName name="_xlnm.Print_Titles" localSheetId="13">'6. mell.tartalékok'!$1:$2</definedName>
    <definedName name="_xlnm.Print_Titles" localSheetId="14">'7. mell. ei. felh. ütemterv'!$1:$1</definedName>
    <definedName name="_xlnm.Print_Titles" localSheetId="15">'8. mell.többéves kihat.beruh. '!$A:$B</definedName>
    <definedName name="_xlnm.Print_Area" localSheetId="1">'1. a. mell.Műk. bev. és kiad.'!$A$1:$E$59</definedName>
    <definedName name="_xlnm.Print_Area" localSheetId="0">'1. mell.Bev. és kiad. összesen'!$A$1:$E$66</definedName>
    <definedName name="_xlnm.Print_Area" localSheetId="2">'1.b. Felh. bev. és kiad.'!$A$1:$E$43</definedName>
    <definedName name="_xlnm.Print_Area" localSheetId="19">'11. a. mell. gördülő működési'!$A$1:$E$59</definedName>
    <definedName name="_xlnm.Print_Area" localSheetId="20">'11. b. gördülő felhalmozási'!$A$1:$E$45</definedName>
    <definedName name="_xlnm.Print_Area" localSheetId="18">'11. mell. gördülő összesen'!$A$1:$E$64</definedName>
    <definedName name="_xlnm.Print_Area" localSheetId="3">'2. mell. Önálló int. összesen'!$A$1:$AF$35</definedName>
    <definedName name="_xlnm.Print_Area" localSheetId="4">'2.a.1.óvodák'!$A$1:$AU$37</definedName>
    <definedName name="_xlnm.Print_Area" localSheetId="6">'2.a.3.GI-hez tartozó egyéb int.'!$A$1:$T$37</definedName>
    <definedName name="_xlnm.Print_Area" localSheetId="8">'3.a.mell.intézményi felúj.'!$A$1:$E$13</definedName>
    <definedName name="_xlnm.Print_Area" localSheetId="13">'6. mell.tartalékok'!$A$1:$E$63</definedName>
    <definedName name="_xlnm.Print_Area" localSheetId="14">'7. mell. ei. felh. ütemterv'!$A$1:$O$61</definedName>
    <definedName name="_xlnm.Print_Area" localSheetId="16">'9. mell,.közv. tám.'!$A$1:$A$54</definedName>
  </definedNames>
  <calcPr fullCalcOnLoad="1" fullPrecision="0"/>
</workbook>
</file>

<file path=xl/sharedStrings.xml><?xml version="1.0" encoding="utf-8"?>
<sst xmlns="http://schemas.openxmlformats.org/spreadsheetml/2006/main" count="1644" uniqueCount="583">
  <si>
    <t>Intézményi játszóeszköz építés</t>
  </si>
  <si>
    <t>Beruházás Kisebbségi Önkormányzatok</t>
  </si>
  <si>
    <t>841127-1 Települési kisebbségi önkormányzatok igazgatási tevékenysége</t>
  </si>
  <si>
    <t>Rendőrség támogatása</t>
  </si>
  <si>
    <t>931301-5 Szabadidősport- (rekreációs sport-) tevékenység és támogatása</t>
  </si>
  <si>
    <t>Ker. és Iparkamara IV. ker. tagcsoportja</t>
  </si>
  <si>
    <t>856099-5 Egyéb oktatást kiegészítő tevékenység</t>
  </si>
  <si>
    <t>Felhalmozási célú pénzeszköz átadás</t>
  </si>
  <si>
    <t>Felhalmozási célú pénzeszköz átadás ÁH-n belülre</t>
  </si>
  <si>
    <t xml:space="preserve">Lakáshoz jutási támogatás végleges jelleggel </t>
  </si>
  <si>
    <t>889942-1 Önkormányzatok által nyújtott lakástámogatások</t>
  </si>
  <si>
    <t>Kisebbségi Önkormányzatok pénzeszköz átadása</t>
  </si>
  <si>
    <t>Átadott pénzeszközök mindösszesen</t>
  </si>
  <si>
    <t xml:space="preserve">       Jövedelemdifferenciálódás elsz.korrekció</t>
  </si>
  <si>
    <t>Önállóan működő, valamint önállóan működő és gazdálkodó intézmények működési bevételei</t>
  </si>
  <si>
    <t>Ebből: Önállóan működő, valamint önállóan működő és gazdálkodó intézmények működési bevételei + ÁFA bev.</t>
  </si>
  <si>
    <t xml:space="preserve">       Idegenforgalmi adó+üdülőhelyi hozzájárulás</t>
  </si>
  <si>
    <t>Önállóan működő, valamint önállóan működő és gazdálkodó intézmények</t>
  </si>
  <si>
    <t xml:space="preserve">             központosított támogatások</t>
  </si>
  <si>
    <t>Támogatási kölcsönök nyújtása (helyi tám. munk. kölcsön)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</si>
  <si>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</si>
  <si>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</si>
  <si>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</si>
  <si>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</si>
  <si>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</si>
  <si>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</si>
  <si>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</si>
  <si>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</si>
  <si>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</si>
  <si>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</si>
  <si>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</si>
  <si>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</si>
  <si>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Záró pénzkészlet</t>
  </si>
  <si>
    <t>Előző havi záró pénzállomány</t>
  </si>
  <si>
    <t>Polgármesteri Hivatal</t>
  </si>
  <si>
    <t>Index</t>
  </si>
  <si>
    <t>5.</t>
  </si>
  <si>
    <t>B E V É T E L E K</t>
  </si>
  <si>
    <t>1.</t>
  </si>
  <si>
    <t>Intézményi saját bevételek</t>
  </si>
  <si>
    <t xml:space="preserve">    - alaptevékenység bevételei</t>
  </si>
  <si>
    <t xml:space="preserve">    - vállalkozási tevékenység bevételei</t>
  </si>
  <si>
    <t xml:space="preserve">    - kamatbevételek</t>
  </si>
  <si>
    <t>2.</t>
  </si>
  <si>
    <t>Felhalmozási célú bevételek</t>
  </si>
  <si>
    <t>3.</t>
  </si>
  <si>
    <t>Működési célú átvett pénzeszköz</t>
  </si>
  <si>
    <t>4.</t>
  </si>
  <si>
    <t>Felhalmozási célú átvett pénzeszköz</t>
  </si>
  <si>
    <t>ÁFA bevétel</t>
  </si>
  <si>
    <t>6.</t>
  </si>
  <si>
    <t>Pénzmaradvány</t>
  </si>
  <si>
    <t>7.</t>
  </si>
  <si>
    <t>Támogatás TB alaptól</t>
  </si>
  <si>
    <t>8.</t>
  </si>
  <si>
    <t>9.</t>
  </si>
  <si>
    <t>Éven belüli értékpapír</t>
  </si>
  <si>
    <t>10.</t>
  </si>
  <si>
    <t>K I A D Á S O K</t>
  </si>
  <si>
    <t>11.</t>
  </si>
  <si>
    <t>Működési költségvetés</t>
  </si>
  <si>
    <t>12.</t>
  </si>
  <si>
    <t xml:space="preserve">Felújítás </t>
  </si>
  <si>
    <t>13.</t>
  </si>
  <si>
    <t>14.</t>
  </si>
  <si>
    <t>Hitelek, értékpapírok</t>
  </si>
  <si>
    <t>15.</t>
  </si>
  <si>
    <t>Tartalék (pénzforg. nélküli)</t>
  </si>
  <si>
    <t>16.</t>
  </si>
  <si>
    <t>Alap és váll. tevék. közötti elszámolás</t>
  </si>
  <si>
    <t>17.</t>
  </si>
  <si>
    <t>Iskolák összesen</t>
  </si>
  <si>
    <t>Előirányzat megnevezése</t>
  </si>
  <si>
    <t>Liget Óvoda</t>
  </si>
  <si>
    <t>Park Óvoda</t>
  </si>
  <si>
    <t>Piac és Vásárcsarnok</t>
  </si>
  <si>
    <t>Könyves Kálmán Gimnázium</t>
  </si>
  <si>
    <t>Babits Mihály Gimnázium</t>
  </si>
  <si>
    <t>Önkormányzat mindösszesen</t>
  </si>
  <si>
    <t>Szűcs Sándor Ált. Isk.</t>
  </si>
  <si>
    <t>Bajza József Ált. Isk.</t>
  </si>
  <si>
    <t>Pécsi S. Ált. és Zenetag. Isk.</t>
  </si>
  <si>
    <t>Német Tagozatos Ált. Isk.</t>
  </si>
  <si>
    <t>Homoktövis Ált. Isk.</t>
  </si>
  <si>
    <t>Költségvetési létszámkeret</t>
  </si>
  <si>
    <t>Gazdasági Intézmény Központ</t>
  </si>
  <si>
    <t>eFt-ban</t>
  </si>
  <si>
    <t>Sorszám</t>
  </si>
  <si>
    <t>Megnevezés</t>
  </si>
  <si>
    <t xml:space="preserve">1. </t>
  </si>
  <si>
    <t>Bevételek</t>
  </si>
  <si>
    <t>I.</t>
  </si>
  <si>
    <t>Működési bevételek</t>
  </si>
  <si>
    <t xml:space="preserve">3. </t>
  </si>
  <si>
    <t>Önkormányzatok sajátos működési bevételei</t>
  </si>
  <si>
    <t>b.) Átengedett központi adók</t>
  </si>
  <si>
    <t>c.) Bírságok, pótlékok és egyéb sajátos bevételek</t>
  </si>
  <si>
    <t>II.</t>
  </si>
  <si>
    <t>Támogatások</t>
  </si>
  <si>
    <t>Önkormányzatok költségvetési támogatása</t>
  </si>
  <si>
    <t>a)</t>
  </si>
  <si>
    <t>b)</t>
  </si>
  <si>
    <t xml:space="preserve">           Központosított előirányzatok</t>
  </si>
  <si>
    <t>c)</t>
  </si>
  <si>
    <t>d)</t>
  </si>
  <si>
    <t>III.</t>
  </si>
  <si>
    <t>Felhalmozási és tőke jellegű bevételek</t>
  </si>
  <si>
    <t>Ebből: Tárgyi eszközök és immateriális javak értékesítése</t>
  </si>
  <si>
    <t xml:space="preserve">            Önkormányzatok sajátos felhalmozási és tőkebevételei</t>
  </si>
  <si>
    <t>Működési célú pénzeszköz átvétel</t>
  </si>
  <si>
    <t>Felhalmozási célú pénzeszköz átvétel</t>
  </si>
  <si>
    <t>Támogatási kölcsönök visszatérülése</t>
  </si>
  <si>
    <t>VI.</t>
  </si>
  <si>
    <t>Pénzforgalom nélküli bevételek</t>
  </si>
  <si>
    <t>Előző évi tervezett pénzmaradvány igénybevétele</t>
  </si>
  <si>
    <t>Előző évek költségvetési tartalékának igénybevétele</t>
  </si>
  <si>
    <t>BEVÉTELEK ÖSSZESEN</t>
  </si>
  <si>
    <t>VII.</t>
  </si>
  <si>
    <t xml:space="preserve">Finanszírozási műveletek </t>
  </si>
  <si>
    <t>Értékpapír bevételek</t>
  </si>
  <si>
    <t>Működési célú hitel felvétele</t>
  </si>
  <si>
    <t>BEVÉTELEK ÉS FINANSZÍROZÁSI MŰVELETEK ÖSSZESEN</t>
  </si>
  <si>
    <t>VIII.</t>
  </si>
  <si>
    <t>Fejlesztési célú hitel felvétele</t>
  </si>
  <si>
    <t>KIADÁSOK</t>
  </si>
  <si>
    <t>Ellátottak pénzbeli juttatásai</t>
  </si>
  <si>
    <t>Speciális célú támogatások</t>
  </si>
  <si>
    <t>Tartalékok (működési+felhalmozási)</t>
  </si>
  <si>
    <t>KIADÁSOK ÖSSZESEN</t>
  </si>
  <si>
    <t>Finanszírozási műveletek</t>
  </si>
  <si>
    <t>KIADÁSOK ÉS FINANSZÍROZÁSI MŰVELETEK ÖSSZESEN</t>
  </si>
  <si>
    <t xml:space="preserve">Tájékoztató jelleggel </t>
  </si>
  <si>
    <t>Intézményi működési bevételek</t>
  </si>
  <si>
    <t>Központosított előirányzatok</t>
  </si>
  <si>
    <t>Normatív kötött felhasználású támogatás</t>
  </si>
  <si>
    <t>MŰKÖDÉSI CÉLÚ BEVÉTELEK ÖSSZESEN</t>
  </si>
  <si>
    <t>MŰKÖDÉSI CÉLÚ BEVÉTELEK ÉS FINANSZÍROZÁSI MŰVELETEK ÖSSZESEN</t>
  </si>
  <si>
    <t>Működési tartalékok</t>
  </si>
  <si>
    <t>MŰKÖDÉSI KIADÁSOK ÖSSZESEN</t>
  </si>
  <si>
    <t>MŰKÖDÉSI KIADÁSOK ÉS FINANSZÍROZÁSI MŰVELETEK ÖSSZESEN</t>
  </si>
  <si>
    <t>többlet</t>
  </si>
  <si>
    <t>Önkormányzat felhalmozási bevételei</t>
  </si>
  <si>
    <t>Pénzügyi befektetések bevételei (osztalékbevételek)</t>
  </si>
  <si>
    <t>Önkormányzatok költségvetési támogatása (fejlesztési célú)</t>
  </si>
  <si>
    <t>Ebből: beruházások állami céltámogatása</t>
  </si>
  <si>
    <t xml:space="preserve">Támogatási kölcsönök visszatérülése </t>
  </si>
  <si>
    <t>FELHALMOZÁSI CÉLÚ BEVÉTELEK ÖSSZESEN</t>
  </si>
  <si>
    <t>Forgatási célú  értékpapír  bevételek</t>
  </si>
  <si>
    <t>BEVÉTELEK ÉS  FINANSZÍROZÁSI MŰVELETEK</t>
  </si>
  <si>
    <t>Önkormányzat fejlesztési kiadásai</t>
  </si>
  <si>
    <t xml:space="preserve">Fejlesztési tartalékok </t>
  </si>
  <si>
    <t>Munkáltatói támogatás folyósítása</t>
  </si>
  <si>
    <t>FELHALMOZÁSI KIADÁSOK ÖSSZESEN</t>
  </si>
  <si>
    <t>FELHALMOZÁSI KIADÁSOK ÉS FINANSZÍROZÁSI MŰVELETEK ÖSSZESEN</t>
  </si>
  <si>
    <t>hiány</t>
  </si>
  <si>
    <t>Ebből: Normatív hozzájárulások</t>
  </si>
  <si>
    <t xml:space="preserve">           Normatív kötött felhasználású  támogatások</t>
  </si>
  <si>
    <t>IV.</t>
  </si>
  <si>
    <t>Támogatásértékű felhalmozási bevétel</t>
  </si>
  <si>
    <t>V</t>
  </si>
  <si>
    <t>Véglegesen átvett pénzeszközök (Államháztartáson kívülről)</t>
  </si>
  <si>
    <t>Előző évi vállalkozási eredmény igénybevétele</t>
  </si>
  <si>
    <t>IX.</t>
  </si>
  <si>
    <t>Hitelek</t>
  </si>
  <si>
    <t>Működési célú pénzeszköz átvétel (Államháztartáson kívülről)</t>
  </si>
  <si>
    <t>BEVÉTELEK + HITELEK MINDÖSSZESEN (9+10)</t>
  </si>
  <si>
    <t>Helyi adók</t>
  </si>
  <si>
    <t xml:space="preserve">      Építményadó</t>
  </si>
  <si>
    <t>Átengedett központi adók</t>
  </si>
  <si>
    <t xml:space="preserve">      Telekadó</t>
  </si>
  <si>
    <t xml:space="preserve">       Kommunális adó</t>
  </si>
  <si>
    <t xml:space="preserve">       Gépjárműadó</t>
  </si>
  <si>
    <t>Feladat megnevezése</t>
  </si>
  <si>
    <t>Forgalomtechnika</t>
  </si>
  <si>
    <t xml:space="preserve">Fejlesztési célú hitel törlesztése </t>
  </si>
  <si>
    <t>TB. Alapoktól átvett pénzeszköz (intézmények)</t>
  </si>
  <si>
    <t>TB Alaptól átvett pénzeszköz</t>
  </si>
  <si>
    <t>1.a</t>
  </si>
  <si>
    <t>1.b</t>
  </si>
  <si>
    <t>2.a</t>
  </si>
  <si>
    <t>2.b</t>
  </si>
  <si>
    <t>TB. Alapoktól átvett (Intézmények)</t>
  </si>
  <si>
    <t>Panel program önkormányzati önrész</t>
  </si>
  <si>
    <t>18.</t>
  </si>
  <si>
    <t>19.</t>
  </si>
  <si>
    <t>Államháztartási tartalék</t>
  </si>
  <si>
    <t>Fejlesztési tartalékok</t>
  </si>
  <si>
    <t>Beruházási és felújítási céltartalék</t>
  </si>
  <si>
    <t>Fejlesztési tartalékok mindösszesen</t>
  </si>
  <si>
    <t>Működtetési céltartalék</t>
  </si>
  <si>
    <t>Támogatási céltartalék</t>
  </si>
  <si>
    <t xml:space="preserve">Végleges pénzeszköz átadás </t>
  </si>
  <si>
    <t>Végleges pénzeszköz átadás</t>
  </si>
  <si>
    <t>Működési célú pénzeszköz átadás</t>
  </si>
  <si>
    <t>Működési célú pénzeszköz átadás ÁH-n belülre</t>
  </si>
  <si>
    <t>Működési célú pénzeszköz átadás ÁH-n kívülre</t>
  </si>
  <si>
    <t>I.-II. Összesen</t>
  </si>
  <si>
    <t>Kisebbségek támogatása</t>
  </si>
  <si>
    <t>Mindösszesen</t>
  </si>
  <si>
    <t>Összesen</t>
  </si>
  <si>
    <t xml:space="preserve">     14.1. Személyi juttatások </t>
  </si>
  <si>
    <t xml:space="preserve">     14.2. Munkaadókat terhelő járulékok </t>
  </si>
  <si>
    <t xml:space="preserve">     14.3. Dologi kiadások </t>
  </si>
  <si>
    <t xml:space="preserve">     14.4. Pénzeszköz átadás</t>
  </si>
  <si>
    <t xml:space="preserve">     14.5. Egyéb támogatás</t>
  </si>
  <si>
    <t xml:space="preserve">     14.6. Ellátottak támogatása</t>
  </si>
  <si>
    <t>Lepke Múzeum</t>
  </si>
  <si>
    <t>MÁV Szimfonikusok</t>
  </si>
  <si>
    <t>Önkormányzati lakásért fizetett pénzbeli térítés</t>
  </si>
  <si>
    <t>Lakáshoz jutási támogatás végleges jelleggel</t>
  </si>
  <si>
    <t>Tárgyi eszközök, immateriális javak értékesítése (ingatlan)</t>
  </si>
  <si>
    <t>Bizottsági tartalékok</t>
  </si>
  <si>
    <t>Felújítási munkálatok ÁFA-val</t>
  </si>
  <si>
    <t>Működési hitel visszafizetése</t>
  </si>
  <si>
    <t xml:space="preserve">       Személyi Jövedelemadó (forrásmegosztásból)</t>
  </si>
  <si>
    <t>Működési tartalékok összesen</t>
  </si>
  <si>
    <t>Egyéb kötelezettség törlesztése</t>
  </si>
  <si>
    <t>hiány /többlet</t>
  </si>
  <si>
    <t>Tőke</t>
  </si>
  <si>
    <t>Kamat</t>
  </si>
  <si>
    <t>Gépjárműadó</t>
  </si>
  <si>
    <t>4. Szociális Foglalkoztató</t>
  </si>
  <si>
    <t>többlet/hiány</t>
  </si>
  <si>
    <t>többlet/ hiány</t>
  </si>
  <si>
    <t>V.</t>
  </si>
  <si>
    <t>Támogatásértékű bevétel (Átvett pe. államháztartáson belülről)</t>
  </si>
  <si>
    <t>Forgatási célú értékpapír bevétele</t>
  </si>
  <si>
    <t>Intézményfinanszírozás</t>
  </si>
  <si>
    <t>Normatív  hozzájárulások</t>
  </si>
  <si>
    <t>Önkormányzat felújítási kiadásai</t>
  </si>
  <si>
    <t xml:space="preserve">Támogatásértékű működési bevétel </t>
  </si>
  <si>
    <t>Felújítási kiadások</t>
  </si>
  <si>
    <t>Intézmények összesen</t>
  </si>
  <si>
    <t>Drog-prevenció</t>
  </si>
  <si>
    <t>Vis maior alap</t>
  </si>
  <si>
    <t>Újpesti Városnapok</t>
  </si>
  <si>
    <t>Egyházak működési támogatása</t>
  </si>
  <si>
    <t>Újpest kiváló tanulója</t>
  </si>
  <si>
    <t>Újpest gyermekeiért cím, díszpolgári cím</t>
  </si>
  <si>
    <t>Karmelita nővérek részére intézmény felújítási támogatás</t>
  </si>
  <si>
    <t>Támogatási kölcsönök visszatérülése, igénybevétele, (munk. tám., helyi tám.)</t>
  </si>
  <si>
    <t>Kiadások</t>
  </si>
  <si>
    <t>Támogatásértékű bevétel (Átvett pénzeszköz álllamházt. belülről)</t>
  </si>
  <si>
    <t>Galambvédelem</t>
  </si>
  <si>
    <t>Templomok felújítási keret</t>
  </si>
  <si>
    <t>Tankönyv támogatás</t>
  </si>
  <si>
    <t>Diákcsere program</t>
  </si>
  <si>
    <t xml:space="preserve">     Ebből: - DÖK támogatás</t>
  </si>
  <si>
    <t xml:space="preserve">                 - Gyermekvédelmi felelősök kerete</t>
  </si>
  <si>
    <t>Karácsonyi vásár, szilveszter</t>
  </si>
  <si>
    <t>Könyvkiadás támogatása</t>
  </si>
  <si>
    <t>Általános tartalék</t>
  </si>
  <si>
    <t>Kiemelt kulturális és oktatási tevékenység</t>
  </si>
  <si>
    <t>Társasházak felújítási támogatása</t>
  </si>
  <si>
    <t>Közművelődési, Oktatási Bizottsági keret</t>
  </si>
  <si>
    <t>Tűzőrség támogatása</t>
  </si>
  <si>
    <t>Felhalmozási célú pénzeszköz átadás ÁH-n kívülre</t>
  </si>
  <si>
    <t xml:space="preserve">Nem lakás céljára szolgáló építmény és telekadó </t>
  </si>
  <si>
    <t>Ezeket számszerűsíteni nem áll módunkban, mivel az adómentes ingatlanokról bevallást nem kell benyújtani.</t>
  </si>
  <si>
    <t xml:space="preserve">Magánszemélyek kommunális adója </t>
  </si>
  <si>
    <t>Építmény és telekadó</t>
  </si>
  <si>
    <t>Magánszemélyek kommunális adója:</t>
  </si>
  <si>
    <t>Nyár Óvoda</t>
  </si>
  <si>
    <t>JMK  Óvoda</t>
  </si>
  <si>
    <t>Fóti Óvoda</t>
  </si>
  <si>
    <t>Pozsonyi ltp. Óvoda</t>
  </si>
  <si>
    <t>Ambrus  Óvoda</t>
  </si>
  <si>
    <t>Vörösmarty Tagóvoda</t>
  </si>
  <si>
    <t>Virág Óvoda</t>
  </si>
  <si>
    <t>Viola Óvoda</t>
  </si>
  <si>
    <t>Deák Ovi</t>
  </si>
  <si>
    <t>Dalos Ovi</t>
  </si>
  <si>
    <t>Aradi Óvoda</t>
  </si>
  <si>
    <t>Bőrfestő Óvoda</t>
  </si>
  <si>
    <t>Homoktövis Óvoda</t>
  </si>
  <si>
    <t>Újpesti Spec. Ált. Isk. és Egységes Gyógypedagógiai Módszertani Int.</t>
  </si>
  <si>
    <t>Erzsébet Utcai Ált. Isk.</t>
  </si>
  <si>
    <t>Angol Tagozatos Ált. Isk.</t>
  </si>
  <si>
    <t>Megyeri Úti Ált. Isk.</t>
  </si>
  <si>
    <t>Testnevelés Tagozatos Ált. Isk.</t>
  </si>
  <si>
    <t>Szigeti J. Utcai Ált. Isk.</t>
  </si>
  <si>
    <t>Erkel Gyula Újpesti Zeneiskola</t>
  </si>
  <si>
    <t>a.) Helyi adók</t>
  </si>
  <si>
    <t>Bródy Imre Oktatási Központ</t>
  </si>
  <si>
    <t xml:space="preserve">Károlyi István 12. Évf. Gimn. </t>
  </si>
  <si>
    <t>Csokonai Vitéz Mihály 12. Évf. Gimn.</t>
  </si>
  <si>
    <t>GI-hez tartozó egyéb int. összesen</t>
  </si>
  <si>
    <t>Sor-szám</t>
  </si>
  <si>
    <t>2012.</t>
  </si>
  <si>
    <t>2013.</t>
  </si>
  <si>
    <t>2014.</t>
  </si>
  <si>
    <t>2015.</t>
  </si>
  <si>
    <t>2016.</t>
  </si>
  <si>
    <t>2017.</t>
  </si>
  <si>
    <t>2012. terv</t>
  </si>
  <si>
    <t>Egyéb (helyi adók, egyéb bev.)előző évi visszat.</t>
  </si>
  <si>
    <t>Digitális fényképezőgép</t>
  </si>
  <si>
    <t>Közvilágítás, díszkivilágítás</t>
  </si>
  <si>
    <t>Szobor és emléktábla állítás</t>
  </si>
  <si>
    <t>Helytörténeti Értesítő</t>
  </si>
  <si>
    <t xml:space="preserve">Népjóléti és Lakásügyi Bizottság </t>
  </si>
  <si>
    <t xml:space="preserve">                                                </t>
  </si>
  <si>
    <t xml:space="preserve">            Pénzügyi befektetések bevételei</t>
  </si>
  <si>
    <t xml:space="preserve">       Iparűzési adó</t>
  </si>
  <si>
    <t xml:space="preserve">       Jövedelem differenciálódás elsz. korrekció</t>
  </si>
  <si>
    <t xml:space="preserve">BEVÉTELEK </t>
  </si>
  <si>
    <t xml:space="preserve">       Idegenforgalmi adó+üdülési hozzájárulás</t>
  </si>
  <si>
    <t>421100-1 Út, autópálya építése</t>
  </si>
  <si>
    <t>Felújítási alap képzés</t>
  </si>
  <si>
    <t>841126-1 Önkormányzatok és többcélú kistérségi társulások igazgatási tevékenysége</t>
  </si>
  <si>
    <t>813000-1 Zöldterület-kezelés</t>
  </si>
  <si>
    <t>Fénymásoló vásárlás</t>
  </si>
  <si>
    <t>Tervezések, szabályozási tervek, pályázati önrészek</t>
  </si>
  <si>
    <t>Térfigyelő rendszer telepítése, bővítése</t>
  </si>
  <si>
    <t>841403-1 Város-, községgazdálkodási m.n.s. szolgáltatások</t>
  </si>
  <si>
    <t>2011. eredeti</t>
  </si>
  <si>
    <t>2011. évi eredeti</t>
  </si>
  <si>
    <t>2012. évi terv</t>
  </si>
  <si>
    <t>2012. évi  terv</t>
  </si>
  <si>
    <t>Gazdasági Intézmény mindösszesen</t>
  </si>
  <si>
    <t>Támogatás (Állami támogatás)</t>
  </si>
  <si>
    <t>Támogatás (Intézmény finanszírozás )</t>
  </si>
  <si>
    <t>Hitel, kötvény kibocsátás</t>
  </si>
  <si>
    <t>BEVÉTELEK ÖSSZESEN: (1+...+ 12)</t>
  </si>
  <si>
    <t>KIADÁSOK ÖSSZESEN: (14+...+19)</t>
  </si>
  <si>
    <t>Intézmény</t>
  </si>
  <si>
    <t>2.Gazdasági Intézmény és önállóan működő intézményei</t>
  </si>
  <si>
    <t>3. Ady Endre Művelődési Központ</t>
  </si>
  <si>
    <t>5. Szociális és Egészségügyi Intézmény</t>
  </si>
  <si>
    <t>7. Polgármesteri Hivatal</t>
  </si>
  <si>
    <t>8. Önkormányzat</t>
  </si>
  <si>
    <t>ebből: pedagógus létszámkeret</t>
  </si>
  <si>
    <t xml:space="preserve">            technikai létszámkeret</t>
  </si>
  <si>
    <t>Leiningen Tagóvoda</t>
  </si>
  <si>
    <t>Királykerti Tagóvoda</t>
  </si>
  <si>
    <t>Csányi Tagóvoda</t>
  </si>
  <si>
    <t>Lakkozó Tagóvoda</t>
  </si>
  <si>
    <t>Óvodák összesen</t>
  </si>
  <si>
    <t>Projekt megnevezése</t>
  </si>
  <si>
    <t>Bevételi jogcímek</t>
  </si>
  <si>
    <t>Bev. összesen</t>
  </si>
  <si>
    <t>Kiadási jogcímek</t>
  </si>
  <si>
    <t>Kiadások összesen</t>
  </si>
  <si>
    <t>Projektek mindösszesen</t>
  </si>
  <si>
    <t>Bevételek mindösszesen</t>
  </si>
  <si>
    <t>Kiadások mindösszesen</t>
  </si>
  <si>
    <t>Önkormányzat működési bevételei</t>
  </si>
  <si>
    <t xml:space="preserve">           Egyéb központi támogatás</t>
  </si>
  <si>
    <t>Önállóan működő, valamint önállóan működő és gazdálkodó intézmények működési kiadásai</t>
  </si>
  <si>
    <t>Önkormányzat működési kiadásai</t>
  </si>
  <si>
    <t>Önkormányzat</t>
  </si>
  <si>
    <t xml:space="preserve">Önállóan működő, valamint önállóan működő és gazdálkodó intézmények működési kiadásai </t>
  </si>
  <si>
    <t>Önkormányzat költségvetésében szereplő                                                     működési kiadások (a szakfeladatok az ellátottak pénzbeli juttatásai  és végleges pénzeszköz átadások kivételével)</t>
  </si>
  <si>
    <t>Forgatási célú értékpapír kiadása</t>
  </si>
  <si>
    <t>FINANSZÍROZÁSI MŰVELETEK</t>
  </si>
  <si>
    <t>ebből: a.) Helyi adók</t>
  </si>
  <si>
    <t>Ebből: a.) Normatív hozzájárulások</t>
  </si>
  <si>
    <t xml:space="preserve">             c.) Normatív kötött felhasználású  támogatások</t>
  </si>
  <si>
    <t>Ebből: a.) Tárgyi eszközök és immateriális javak értékesítése</t>
  </si>
  <si>
    <t xml:space="preserve">            b.)  Önkormányzatok sajátos felhalmozási és tőkebevételei</t>
  </si>
  <si>
    <t>Fejlesztési  célú kötvény kibocsátás</t>
  </si>
  <si>
    <t>Önkormányzat költségvetésében szereplő  működési kiadások (az ellátottak pénzbeli juttatásai  és végleges pénzeszköz átadások kivételével)</t>
  </si>
  <si>
    <t>Önkormányzat költségvetésében szereplő működési kiadások (az ellátottak pénzbeli juttatásai  és végleges pénzeszköz átadások kivételével)</t>
  </si>
  <si>
    <t>Működési célú hitel visszafizetése</t>
  </si>
  <si>
    <t>Fejlesztési  célú hitel törlesztése</t>
  </si>
  <si>
    <t>Fejlesztési célú kötvény  beváltása</t>
  </si>
  <si>
    <t>BEVÉTELEK ÉS FINANSZÍROZÁSI MŰVELETEK  ÖSSZESEN</t>
  </si>
  <si>
    <t>KIADÁSOK ÉS FINANSZÍROZÁSI MŰVELETEK  ÖSSZESEN</t>
  </si>
  <si>
    <t>Ebből: a.) Önállóan működő, valamint önállóan működő és gazdálkodó intézmények működési bevételei + ÁFA bev.</t>
  </si>
  <si>
    <t xml:space="preserve">           b.) Önkormányzat</t>
  </si>
  <si>
    <t>Egyéb sajátos bevételek</t>
  </si>
  <si>
    <t>FELHALMOZÁSI CÉLÚ BEVÉTELEK ÉS FINANSZÍROZÁSI MŰVELETEK ÖSSZESEN</t>
  </si>
  <si>
    <t>FELHALMOZÁSI CÉLÚ KIADÁSOK ÖSSZESEN</t>
  </si>
  <si>
    <t xml:space="preserve">Intézmény </t>
  </si>
  <si>
    <t>Személyi juttatás</t>
  </si>
  <si>
    <t>Járulék</t>
  </si>
  <si>
    <t xml:space="preserve">Megyeri Úti Ált. Isk. </t>
  </si>
  <si>
    <t>Károlyi István 12 Évf. Gimnázium</t>
  </si>
  <si>
    <t>Csokonai Vitéz Mihály 12 Évf. Gimnázium</t>
  </si>
  <si>
    <t>JMK Óvoda</t>
  </si>
  <si>
    <t>Pozsonyi Óvoda</t>
  </si>
  <si>
    <t>Ambrus-Vörösmarty Óvoda</t>
  </si>
  <si>
    <t>Újpesti Pedagógiai Szolgáltató Központ</t>
  </si>
  <si>
    <t xml:space="preserve">Bírságok, pótlékok </t>
  </si>
  <si>
    <t xml:space="preserve">Önkormányzat sajátos felhalmozási bevételei </t>
  </si>
  <si>
    <t>Oktatási intézmények összesen</t>
  </si>
  <si>
    <t>Utak és járdák felújítása</t>
  </si>
  <si>
    <t>Felújítási  alap terhére kivitelezés</t>
  </si>
  <si>
    <t>Járda és útépítés</t>
  </si>
  <si>
    <t>422100-1 Folyadék szállítására szolgáló közműépítés</t>
  </si>
  <si>
    <t>Parkolóépítés</t>
  </si>
  <si>
    <t>429900-1 Egyéb m.n.s. építés</t>
  </si>
  <si>
    <t>Parképítés, fasor rehabilitációs program</t>
  </si>
  <si>
    <t>Szellemi termékek vásárlása</t>
  </si>
  <si>
    <t>E-közigazgatás fejlesztése</t>
  </si>
  <si>
    <t>Igazgatási szosftverek beszerzése</t>
  </si>
  <si>
    <t>Informatikai eszközök vásárlása</t>
  </si>
  <si>
    <t>Lokális hálózat bővítése és Szent István téri WIFI</t>
  </si>
  <si>
    <t>841402-1 Közvilágítás</t>
  </si>
  <si>
    <t>Közterületi játszótér</t>
  </si>
  <si>
    <t>581400-5 Folyóirat, időszaki kiadv. kiadása</t>
  </si>
  <si>
    <t>Kerületi komposztálási mintaprogram</t>
  </si>
  <si>
    <t>841403-5 Város- és községgazdálkodási m.n.s. szolgáltatások</t>
  </si>
  <si>
    <t>Tehetséges Más Fogyatékosokért Alapítvány (Szőnyi Iskola miatt)</t>
  </si>
  <si>
    <t>852021-5 Ált. isk.napp.rendsz.nev.okt.5-8 évf.</t>
  </si>
  <si>
    <t>Balatonfüredi Kard.Rehab.Int. Alapítvány</t>
  </si>
  <si>
    <t>861003-5 Bentlakásos egészségügyi rehabilitációs ellátás</t>
  </si>
  <si>
    <t>Twist Olivér Alapítvány</t>
  </si>
  <si>
    <t>889913-5 Nappali melegedő</t>
  </si>
  <si>
    <t>890506-5 Egyházak közösségi és hitéleti tevékenységének támogatása</t>
  </si>
  <si>
    <t>890601-5 Vállalkozói, munkaadói érdekképviseleti tevékenység támogatása</t>
  </si>
  <si>
    <t>900121-5 Zeneművészeti tevékenység</t>
  </si>
  <si>
    <t>910203-5 Múzeumi kiállítási tevékenység</t>
  </si>
  <si>
    <t>UTE támogatás</t>
  </si>
  <si>
    <t>931202-5 Utánpótlás nevelési tevékenység és támogatása</t>
  </si>
  <si>
    <t>910302-5 Történelmi hely, építmény, egyéb látványosság megóvása</t>
  </si>
  <si>
    <t>Egészségügyi tartalék</t>
  </si>
  <si>
    <t>Informatikai tartalék</t>
  </si>
  <si>
    <t>Intézményvezetők, pedagógusok továbbképzése</t>
  </si>
  <si>
    <t>Városüzemeltetési és Városfejlesztési Bizottság keret</t>
  </si>
  <si>
    <t>Pályázati önrész önko. hat. alapján</t>
  </si>
  <si>
    <t>Gazdasági és Pénzügyi Ellenőrző Bizottság  keret</t>
  </si>
  <si>
    <t>Idősek hónapja</t>
  </si>
  <si>
    <t>100 évesek köszöntése</t>
  </si>
  <si>
    <t>Utcai gondozó szolgálat</t>
  </si>
  <si>
    <t>TRÖK keret</t>
  </si>
  <si>
    <t>TRÖK rendezvények</t>
  </si>
  <si>
    <t>TRÖK Farkaserdő rendbetétele</t>
  </si>
  <si>
    <t xml:space="preserve">                 - Diákösztöndíj</t>
  </si>
  <si>
    <t xml:space="preserve">                - Éjszakai ping-pong</t>
  </si>
  <si>
    <t xml:space="preserve">                - Egyéb kulturális tevékenység</t>
  </si>
  <si>
    <t xml:space="preserve">                - Kisebbségi keret</t>
  </si>
  <si>
    <t xml:space="preserve">                - Civil keret</t>
  </si>
  <si>
    <t xml:space="preserve">                - Sport Alap</t>
  </si>
  <si>
    <t>Újpesti Zöld Kataszter elkészítése</t>
  </si>
  <si>
    <t>Városháza étterem kialakítása</t>
  </si>
  <si>
    <t>Kisebbségi Önkormányzatok tartaléka</t>
  </si>
  <si>
    <t>Tartalékok mindösszesen</t>
  </si>
  <si>
    <t>Egyébközponti támogatások</t>
  </si>
  <si>
    <t>Újpesti Egészségügyi Szolgáltató Nonprofit Kft. támogatása</t>
  </si>
  <si>
    <t>862211-5 Járóbetegek gyógyító szakellátása</t>
  </si>
  <si>
    <t>S.O.S. gondozó hálózat</t>
  </si>
  <si>
    <t>Újpest Egészségéért Díj</t>
  </si>
  <si>
    <t>Bursa Hungarica</t>
  </si>
  <si>
    <t>Sport támogatási keret</t>
  </si>
  <si>
    <t>Újpesti Bölcsődék Intézménye</t>
  </si>
  <si>
    <t>Beruházás</t>
  </si>
  <si>
    <t>Komposztáló telep,  újrahasználati központ megvalósíthatósági tanulmány</t>
  </si>
  <si>
    <t>Játszótéri ivókutak</t>
  </si>
  <si>
    <t>Fóti Óvoda-Leiningen Tagóvoda</t>
  </si>
  <si>
    <t>Liget Óvoda-Királykerti Tagóvoda</t>
  </si>
  <si>
    <t>Aradi Óvoda-Csányi Tagóvoda</t>
  </si>
  <si>
    <t>Park Óvoda-Lakkozó Tagóvoda</t>
  </si>
  <si>
    <t>Önkormányzat beruházási kiadásai mindösszesen</t>
  </si>
  <si>
    <t>Megvalósulás éve</t>
  </si>
  <si>
    <t>HPV elleni védőoltás</t>
  </si>
  <si>
    <t xml:space="preserve">Tehetséges Más Fogyatékosokért Al. </t>
  </si>
  <si>
    <t>KMOP-4.5.2-11.pályázati önrész (Bölcsőde)</t>
  </si>
  <si>
    <t>DHK díjtartozás</t>
  </si>
  <si>
    <t xml:space="preserve"> </t>
  </si>
  <si>
    <t>680001-5 Lakóingatlan bérbeadása, üzemeltetése</t>
  </si>
  <si>
    <t>862211-1 Járóbetegek gyógyító szakellátása</t>
  </si>
  <si>
    <t>Szakrendelő KEOP pályázat</t>
  </si>
  <si>
    <t>Beruházási kiadások</t>
  </si>
  <si>
    <t>- Civil szerepvállalás fejlesztése</t>
  </si>
  <si>
    <t>Közműépítés, kiváltás</t>
  </si>
  <si>
    <t>6. Újpesti Ifjúsági Sport- és Szabadidő Központ</t>
  </si>
  <si>
    <t>Informatikai normatíva</t>
  </si>
  <si>
    <t>20.</t>
  </si>
  <si>
    <t>21.</t>
  </si>
  <si>
    <t>22.</t>
  </si>
  <si>
    <t>Halassy Olivér USC</t>
  </si>
  <si>
    <t>Városi sportiskola támogatása</t>
  </si>
  <si>
    <t>889929-5 Utcai szociális munka</t>
  </si>
  <si>
    <t>Közterületi öntözőkutak telepítése</t>
  </si>
  <si>
    <t>Intézményi felújítási kiadások ÁFA-val</t>
  </si>
  <si>
    <t>Gazdasági Intézmény</t>
  </si>
  <si>
    <t xml:space="preserve">     - Pozsonyi Óvoda tetőfelújítás</t>
  </si>
  <si>
    <t>Ady Endre Művelődési Közpnt</t>
  </si>
  <si>
    <t xml:space="preserve">5. </t>
  </si>
  <si>
    <t>Szociális Foglalkoztató</t>
  </si>
  <si>
    <t>Újpesti Ifjúsági Sport- és Szabadidő Központ</t>
  </si>
  <si>
    <t>Inzézményi felújítás összesen</t>
  </si>
  <si>
    <t>Szociális és Egészségügyi Intézmény</t>
  </si>
  <si>
    <t>Intézményi beruházási kiadások ÁFA-val</t>
  </si>
  <si>
    <t>Inzézményi beruházás összesen</t>
  </si>
  <si>
    <t xml:space="preserve">     - igazgatási szoftverek beszerzése</t>
  </si>
  <si>
    <t xml:space="preserve">     - informatikai eszközök vásárlása</t>
  </si>
  <si>
    <t xml:space="preserve">     - fénymásoló vásárlás</t>
  </si>
  <si>
    <t xml:space="preserve">     - digitális fényképezőgép beszerzés</t>
  </si>
  <si>
    <t xml:space="preserve">     - lokális hálózat bővítése</t>
  </si>
  <si>
    <t xml:space="preserve">     - galambvédelem</t>
  </si>
  <si>
    <t>Polgármesteri Hivatal összesen</t>
  </si>
  <si>
    <t xml:space="preserve">     - Gazdasági Intézmény Központ beruházási keret</t>
  </si>
  <si>
    <t xml:space="preserve">     - Csokonai Gimnázium telefonközpont beszerzése</t>
  </si>
  <si>
    <t>A helyi önkormányzat adórendeleteiben meghatározott közvetett támogatások, adóelengedések, adókedvezmények:</t>
  </si>
  <si>
    <t>Az erről szóló 43/2003.(XII.10.) sz. önkormányzati rendelet adókedvezményt nem határozott meg.</t>
  </si>
  <si>
    <t>A rendelet 5. §-a szabályozza a kommunális adó alól mentes lakások (lakásbérleti jogok) körét, de mivel a rendelet 6 § (2) bek. értelmében a mentes lakásról nem kell bevallást tenni, ezek számáról – ez alapján a kvázi kieső bevételről – információval ugyanúgy nem rendelkezünk, mint az építmény és telekadó hivatkozott mentességeinél.</t>
  </si>
  <si>
    <t xml:space="preserve">Gépjárműadó mentességben részesült 1.377 adózó összesen 30.226.057.-Ft összegben az alábbi jogcímeken: </t>
  </si>
  <si>
    <t xml:space="preserve">-          952 adózó, 25.045.106.-Ft érintett1 összegben a Gjt. 5 §-ban foglalt adómentesség alapján (leggyakrabban a súlyos mozgáskorlátozottak, alapítványok, egyházak, társadalmi szervezetek) </t>
  </si>
  <si>
    <t>Érintett összeg: 462.594.-Ft</t>
  </si>
  <si>
    <t>Fizetési könnyítés:</t>
  </si>
  <si>
    <t>2012. évre áthúzódó fizetési könnyítés 6 db, összege: 221.264.-Ft</t>
  </si>
  <si>
    <t>Fizetési könnyítés (részlet, halasztás): 16 db</t>
  </si>
  <si>
    <t>Fizetési könnyítéskor az adó megfizetésére az eredeti esedékességtől eltérő időben (fizetési halasztás) vagy részletekben került sor, az ART hivatkozott rendelkezéseinek megfelelően.</t>
  </si>
  <si>
    <t>[1] az „érintett összeg” közlése tájékoztató adat, azon összeget számszerűsíti, mely a kedvezmény illetve mentességi jogosultság hiányában előírásra kerülne, mint fizetési kötelezettség, a törzskivetés összegében nem szerepel!)</t>
  </si>
  <si>
    <r>
      <t xml:space="preserve">Nem helyi rendelettel szabályozott, hanem központi adófajta a </t>
    </r>
    <r>
      <rPr>
        <b/>
        <sz val="12"/>
        <rFont val="Times New Roman"/>
        <family val="1"/>
      </rPr>
      <t>gépjárműadó</t>
    </r>
    <r>
      <rPr>
        <sz val="12"/>
        <rFont val="Times New Roman"/>
        <family val="1"/>
      </rPr>
      <t xml:space="preserve">, ahol kizárólag a Gépjárműadóról szóló 1991. évi LXXXII. Törvény (továbbiakban Gjt.) által biztosított mentességek, kedvezmények vehetők igénybe. </t>
    </r>
  </si>
  <si>
    <t>1.     mentes a magánszemély tulajdonában álló lakás,</t>
  </si>
  <si>
    <t>2.     mentes a magánszemély tulajdonában lévő lakóház építésére alkalmas telektulajdon 2 évig, valamint</t>
  </si>
  <si>
    <t>3.     mentes magánszemély tulajdonában lévő lakóingatlanhoz tartozó telek.</t>
  </si>
  <si>
    <t>-         425 Adózó 5.180.951.-Ft.-Ft összegben az Okmányirodában bejelentett – de a járműnyilvántartásban nem rögzített – korábbi években történt gépjármű tulajdonjog átruházás, rendőrség által igazolt birtokból való kikerülés stb. alapján</t>
  </si>
  <si>
    <t>d.) Egyéb sajátos bevételek</t>
  </si>
  <si>
    <t xml:space="preserve">           Egyéb központi támogatások</t>
  </si>
  <si>
    <t>Támogatási kölcsönök visszatérülése, igénybevétele,(munk. tám., helyi tám.)</t>
  </si>
  <si>
    <t>Fejlesztési célúkötvény kibocsátás</t>
  </si>
  <si>
    <t>Fejlesztési célú kötvény beváltása</t>
  </si>
  <si>
    <t xml:space="preserve">           b.) Átengedett központi adók</t>
  </si>
  <si>
    <t xml:space="preserve">            b.)  Központosított előirányzatok</t>
  </si>
  <si>
    <t xml:space="preserve">          c.) Bírságok, pótlékok </t>
  </si>
  <si>
    <t xml:space="preserve">          d.) Egyéb sajátos bevételek</t>
  </si>
  <si>
    <t xml:space="preserve">             d.) Egyéb központi támogatások</t>
  </si>
  <si>
    <t xml:space="preserve">            c.)  Pénzügyi befektetések bevételei</t>
  </si>
  <si>
    <t>Támogatási kölcsönök nyújtása (helyi tám.,  munk. kölcsön)</t>
  </si>
  <si>
    <t>Tárgyi eszközök, immateriális javak értékesítése</t>
  </si>
  <si>
    <t xml:space="preserve">            központosított támogatások</t>
  </si>
  <si>
    <t>Önkormányzat beruházási kiadásai</t>
  </si>
  <si>
    <t>Karinthy Frigyes Általános Művelődési Központ</t>
  </si>
  <si>
    <t>Felújítási kiadások mindösszesen</t>
  </si>
  <si>
    <t>Újpesti Sajtó Nonprofit Kft.</t>
  </si>
  <si>
    <t xml:space="preserve">25/2010. (IX. 16.) önko. rend. alapján: Értékvédelemmel kapcs. tám. </t>
  </si>
  <si>
    <t>Pályázatok elkészítése</t>
  </si>
  <si>
    <t xml:space="preserve">                - Nyári tábor és erdei iskolák támogatása</t>
  </si>
  <si>
    <t xml:space="preserve">c.) Bírságok, pótlékok </t>
  </si>
  <si>
    <t>Önkormányzat költségvetésében szereplő működési kiadások (az ellátottak pénzbeli juttatásai és végleges pénzeszköz átadások kivételével)</t>
  </si>
  <si>
    <t xml:space="preserve">Kötvény </t>
  </si>
  <si>
    <t>2016.- 2030.</t>
  </si>
  <si>
    <t>2031.</t>
  </si>
  <si>
    <t>KEOP-5.3.0/A/09-2010-0043</t>
  </si>
  <si>
    <t>Szakrendelő felújítása</t>
  </si>
  <si>
    <t>KMOP-2007.-4.6.1/B -2. óvodai EU pályázat</t>
  </si>
  <si>
    <t>KMOP-5.2.2/B Nagyvárosi Jövő-Új Főtér</t>
  </si>
  <si>
    <t>KMOP-4.5.3-10-11-2011-0060</t>
  </si>
  <si>
    <t>Koktél áruház akadálymentesítése</t>
  </si>
  <si>
    <t>841126-6 Önkormányzatok és többcélú kistérségi társulások igazgatási tevékenysége</t>
  </si>
  <si>
    <t>842421-6 Közterület rendjének fenntartása</t>
  </si>
  <si>
    <t>842521-6 Tűzoltás, műszaki mentés, katasztrófahelyzet elhárítása</t>
  </si>
  <si>
    <t>854314-5 Szociális ösztöndíj</t>
  </si>
  <si>
    <t>680002-1 Nem lakóingatlan bérbeadása, üzemeltetése</t>
  </si>
  <si>
    <t>Adómérséklés:             4 db</t>
  </si>
  <si>
    <t xml:space="preserve"> – részlet:               85 db       összege        639 041 819 Ft</t>
  </si>
  <si>
    <t>2012. évre áthúzódó fizetési könnyítés  48 db, összege: 111.463.093.-Ft</t>
  </si>
  <si>
    <t>2013. évre áthúzódó fizetési könnyítés  10 db, összege   13.293.700.- Ft</t>
  </si>
  <si>
    <t xml:space="preserve"> - fizetési halasztás: 12 db       összege         48.365 011 Ft</t>
  </si>
  <si>
    <t>Mindösszesen:                                                               124.756.793.-Ft</t>
  </si>
  <si>
    <t>Összege:     594.947.- Ft</t>
  </si>
  <si>
    <t>Fizetési könnyítés: 17 db</t>
  </si>
  <si>
    <t>Adómérséklés       19 db</t>
  </si>
  <si>
    <t>Összege:    325.274.- Ft</t>
  </si>
  <si>
    <t>Összege:   1.405.162.- Ft</t>
  </si>
  <si>
    <t>Adómérséklés      54 db</t>
  </si>
  <si>
    <t>Összege:                 4.023.963.- Ft, ebből áthúzódó: 1.895.696.- Ft</t>
  </si>
  <si>
    <t>Egyéb központi támogatások</t>
  </si>
  <si>
    <t>Fejlesztési célú hitel törlesztése</t>
  </si>
  <si>
    <t xml:space="preserve">                                                                                        </t>
  </si>
  <si>
    <t xml:space="preserve">                         </t>
  </si>
  <si>
    <t xml:space="preserve">                    </t>
  </si>
  <si>
    <t xml:space="preserve"> Bírságok, pótlékok</t>
  </si>
  <si>
    <t xml:space="preserve">       Személyi jövedelemadó (forrásmegosztásból)</t>
  </si>
  <si>
    <t>UV Zrt.</t>
  </si>
  <si>
    <t>Újpesti Városgondnokság Kft. támogatása</t>
  </si>
  <si>
    <t>841154-5 Önkormányzati vagyonnal való gazdálkodással kapcs. fel.</t>
  </si>
  <si>
    <t>Támogatási kölcsönök nyújtása (helyi tám., munk. kölcsön)</t>
  </si>
  <si>
    <t>Adómentesség, adókedvezmény igénylésének lehetősége 2004. 01. 31.-től gyakorlatilag megszűnt. A 2011. 12. 31.-ig hatályos többszörösen módosított építmény és telekadóról szóló 5/1992. (IV.01.) önkormányzati rendelet ezen időponttól kezdődően 3 mentességet nevesített, azt is kizárólag magánszemélyek részére. Ezek:</t>
  </si>
  <si>
    <r>
      <t xml:space="preserve">Az </t>
    </r>
    <r>
      <rPr>
        <b/>
        <sz val="12"/>
        <rFont val="Times New Roman"/>
        <family val="1"/>
      </rPr>
      <t>adózás rendjéről szóló 2003. évi XCII. törvény</t>
    </r>
    <r>
      <rPr>
        <sz val="12"/>
        <rFont val="Times New Roman"/>
        <family val="1"/>
      </rPr>
      <t xml:space="preserve"> (Art.) 133 § és 134 § rendelkezéseinek megfelelően - kérelemre, egyedi méltányossági eljárás lefolytatását követően – 2011. évben engedélyezett adómérséklések és fizetési könnyítések (részletfizetés, fizetési halasztás) adatai:</t>
    </r>
  </si>
  <si>
    <t>TB Alapoktól átvett (Intézmények)</t>
  </si>
  <si>
    <t>BEVÉTELEK ÉS FINANSZÍROZÁSI MŰVELETEK ÉS HITELEK ÖSSZESEN</t>
  </si>
  <si>
    <t>EB és Olimpiai Forgatag</t>
  </si>
  <si>
    <t>Testvérvárosi Kapcsolatok</t>
  </si>
  <si>
    <t>23.</t>
  </si>
  <si>
    <t>24.</t>
  </si>
  <si>
    <t>Egyéb  intézmények összesen</t>
  </si>
  <si>
    <t xml:space="preserve">1. Karinthy Frigyes Általános  Művelődési Központ </t>
  </si>
  <si>
    <t>Ady Endre Művelődési Központ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</si>
</sst>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  <numFmt numFmtId="166" formatCode="_-* #,##0\ _F_t_-;\-* #,##0\ _F_t_-;_-* &quot;-&quot;??\ _F_t_-;_-@_-"/>
    <numFmt numFmtId="167" formatCode="0.0%"/>
    <numFmt numFmtId="168" formatCode="0.0"/>
    <numFmt numFmtId="169" formatCode="[$-40E]yyyy\.\ mmmm\ d\."/>
    <numFmt numFmtId="170" formatCode="_-* #,##0.0\ _F_t_-;\-* #,##0.0\ _F_t_-;_-* &quot;-&quot;??\ _F_t_-;_-@_-"/>
    <numFmt numFmtId="171" formatCode="#,##0.0"/>
    <numFmt numFmtId="172" formatCode="#,##0.00_ ;\-#,##0.00\ 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58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i/>
      <sz val="10"/>
      <color indexed="14"/>
      <name val="Arial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indexed="9"/>
      </patternFill>
    </fill>
    <fill>
      <patternFill patternType="lightGray">
        <fgColor indexed="9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slantDashDot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slantDashDot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slantDashDot"/>
    </border>
    <border>
      <left style="thin"/>
      <right style="double"/>
      <top style="double"/>
      <bottom style="slantDashDot"/>
    </border>
    <border>
      <left style="double"/>
      <right style="thin"/>
      <top style="double"/>
      <bottom style="slant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slantDashDot"/>
      <bottom>
        <color indexed="63"/>
      </bottom>
    </border>
    <border>
      <left style="thin"/>
      <right style="thin"/>
      <top style="slantDashDot"/>
      <bottom>
        <color indexed="63"/>
      </bottom>
    </border>
    <border>
      <left style="thin"/>
      <right style="double"/>
      <top style="slantDashDot"/>
      <bottom>
        <color indexed="63"/>
      </bottom>
    </border>
    <border>
      <left style="double"/>
      <right style="thin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slantDashDot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slantDashDot"/>
      <bottom style="thin"/>
    </border>
    <border>
      <left>
        <color indexed="63"/>
      </left>
      <right style="double"/>
      <top style="slantDashDot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slantDashDot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40" applyNumberFormat="1" applyFont="1" applyBorder="1" applyAlignment="1">
      <alignment horizontal="right"/>
    </xf>
    <xf numFmtId="3" fontId="5" fillId="0" borderId="10" xfId="4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3" fontId="3" fillId="0" borderId="10" xfId="40" applyNumberFormat="1" applyFont="1" applyBorder="1" applyAlignment="1" applyProtection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5" fillId="0" borderId="10" xfId="4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3" fillId="0" borderId="10" xfId="62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3" fillId="0" borderId="10" xfId="40" applyNumberFormat="1" applyFont="1" applyFill="1" applyBorder="1" applyAlignment="1">
      <alignment/>
    </xf>
    <xf numFmtId="3" fontId="5" fillId="0" borderId="10" xfId="4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3" fontId="5" fillId="0" borderId="10" xfId="40" applyNumberFormat="1" applyFont="1" applyFill="1" applyBorder="1" applyAlignment="1">
      <alignment/>
    </xf>
    <xf numFmtId="3" fontId="3" fillId="0" borderId="10" xfId="40" applyNumberFormat="1" applyFont="1" applyFill="1" applyBorder="1" applyAlignment="1">
      <alignment/>
    </xf>
    <xf numFmtId="3" fontId="3" fillId="0" borderId="10" xfId="62" applyNumberFormat="1" applyFont="1" applyFill="1" applyBorder="1" applyAlignment="1">
      <alignment/>
    </xf>
    <xf numFmtId="3" fontId="5" fillId="0" borderId="10" xfId="62" applyNumberFormat="1" applyFont="1" applyFill="1" applyBorder="1" applyAlignment="1">
      <alignment/>
    </xf>
    <xf numFmtId="3" fontId="3" fillId="0" borderId="10" xfId="62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34" borderId="14" xfId="0" applyFont="1" applyFill="1" applyBorder="1" applyAlignment="1">
      <alignment horizontal="center"/>
    </xf>
    <xf numFmtId="167" fontId="5" fillId="0" borderId="15" xfId="62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7" fontId="3" fillId="0" borderId="15" xfId="6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7" fontId="3" fillId="0" borderId="16" xfId="62" applyNumberFormat="1" applyFont="1" applyBorder="1" applyAlignment="1">
      <alignment horizontal="right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 wrapText="1"/>
    </xf>
    <xf numFmtId="3" fontId="3" fillId="0" borderId="16" xfId="40" applyNumberFormat="1" applyFont="1" applyBorder="1" applyAlignment="1" applyProtection="1">
      <alignment horizontal="right"/>
      <protection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 wrapText="1"/>
    </xf>
    <xf numFmtId="3" fontId="3" fillId="35" borderId="21" xfId="40" applyNumberFormat="1" applyFont="1" applyFill="1" applyBorder="1" applyAlignment="1" applyProtection="1">
      <alignment horizontal="right"/>
      <protection/>
    </xf>
    <xf numFmtId="0" fontId="5" fillId="34" borderId="22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66" fontId="5" fillId="0" borderId="23" xfId="40" applyNumberFormat="1" applyFont="1" applyBorder="1" applyAlignment="1">
      <alignment horizontal="righ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wrapText="1"/>
    </xf>
    <xf numFmtId="167" fontId="3" fillId="0" borderId="16" xfId="62" applyNumberFormat="1" applyFont="1" applyFill="1" applyBorder="1" applyAlignment="1">
      <alignment horizontal="right"/>
    </xf>
    <xf numFmtId="167" fontId="3" fillId="0" borderId="15" xfId="62" applyNumberFormat="1" applyFont="1" applyFill="1" applyBorder="1" applyAlignment="1">
      <alignment horizontal="right"/>
    </xf>
    <xf numFmtId="3" fontId="5" fillId="0" borderId="20" xfId="40" applyNumberFormat="1" applyFont="1" applyFill="1" applyBorder="1" applyAlignment="1">
      <alignment wrapText="1"/>
    </xf>
    <xf numFmtId="167" fontId="5" fillId="0" borderId="15" xfId="62" applyNumberFormat="1" applyFont="1" applyFill="1" applyBorder="1" applyAlignment="1">
      <alignment horizontal="right"/>
    </xf>
    <xf numFmtId="167" fontId="5" fillId="0" borderId="21" xfId="62" applyNumberFormat="1" applyFont="1" applyFill="1" applyBorder="1" applyAlignment="1">
      <alignment horizontal="right"/>
    </xf>
    <xf numFmtId="3" fontId="3" fillId="0" borderId="10" xfId="40" applyNumberFormat="1" applyFont="1" applyFill="1" applyBorder="1" applyAlignment="1">
      <alignment horizontal="left"/>
    </xf>
    <xf numFmtId="3" fontId="3" fillId="0" borderId="11" xfId="40" applyNumberFormat="1" applyFont="1" applyFill="1" applyBorder="1" applyAlignment="1">
      <alignment/>
    </xf>
    <xf numFmtId="167" fontId="5" fillId="0" borderId="15" xfId="62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 wrapText="1"/>
    </xf>
    <xf numFmtId="3" fontId="3" fillId="0" borderId="15" xfId="40" applyNumberFormat="1" applyFont="1" applyFill="1" applyBorder="1" applyAlignment="1">
      <alignment/>
    </xf>
    <xf numFmtId="167" fontId="3" fillId="0" borderId="15" xfId="62" applyNumberFormat="1" applyFont="1" applyFill="1" applyBorder="1" applyAlignment="1">
      <alignment/>
    </xf>
    <xf numFmtId="167" fontId="5" fillId="0" borderId="15" xfId="62" applyNumberFormat="1" applyFont="1" applyFill="1" applyBorder="1" applyAlignment="1">
      <alignment/>
    </xf>
    <xf numFmtId="3" fontId="5" fillId="0" borderId="11" xfId="40" applyNumberFormat="1" applyFont="1" applyFill="1" applyBorder="1" applyAlignment="1">
      <alignment/>
    </xf>
    <xf numFmtId="3" fontId="3" fillId="0" borderId="23" xfId="40" applyNumberFormat="1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5" fillId="0" borderId="28" xfId="0" applyFont="1" applyFill="1" applyBorder="1" applyAlignment="1">
      <alignment horizontal="left" vertical="center"/>
    </xf>
    <xf numFmtId="0" fontId="3" fillId="0" borderId="29" xfId="0" applyFont="1" applyBorder="1" applyAlignment="1" quotePrefix="1">
      <alignment horizontal="left"/>
    </xf>
    <xf numFmtId="0" fontId="3" fillId="0" borderId="27" xfId="0" applyFont="1" applyBorder="1" applyAlignment="1" quotePrefix="1">
      <alignment horizontal="left"/>
    </xf>
    <xf numFmtId="0" fontId="5" fillId="0" borderId="30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167" fontId="5" fillId="0" borderId="15" xfId="62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67" fontId="5" fillId="0" borderId="21" xfId="62" applyNumberFormat="1" applyFont="1" applyBorder="1" applyAlignment="1">
      <alignment/>
    </xf>
    <xf numFmtId="167" fontId="3" fillId="0" borderId="15" xfId="62" applyNumberFormat="1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3" fontId="3" fillId="0" borderId="11" xfId="40" applyNumberFormat="1" applyFont="1" applyFill="1" applyBorder="1" applyAlignment="1">
      <alignment horizontal="right"/>
    </xf>
    <xf numFmtId="3" fontId="3" fillId="0" borderId="23" xfId="40" applyNumberFormat="1" applyFont="1" applyFill="1" applyBorder="1" applyAlignment="1">
      <alignment horizontal="right"/>
    </xf>
    <xf numFmtId="3" fontId="5" fillId="0" borderId="10" xfId="62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3" fontId="3" fillId="33" borderId="10" xfId="40" applyNumberFormat="1" applyFont="1" applyFill="1" applyBorder="1" applyAlignment="1">
      <alignment horizontal="right"/>
    </xf>
    <xf numFmtId="3" fontId="3" fillId="33" borderId="15" xfId="40" applyNumberFormat="1" applyFont="1" applyFill="1" applyBorder="1" applyAlignment="1">
      <alignment horizontal="right"/>
    </xf>
    <xf numFmtId="3" fontId="3" fillId="0" borderId="15" xfId="62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3" fontId="5" fillId="0" borderId="18" xfId="62" applyNumberFormat="1" applyFont="1" applyFill="1" applyBorder="1" applyAlignment="1">
      <alignment horizontal="right"/>
    </xf>
    <xf numFmtId="3" fontId="3" fillId="0" borderId="0" xfId="40" applyNumberFormat="1" applyFont="1" applyAlignment="1">
      <alignment/>
    </xf>
    <xf numFmtId="3" fontId="5" fillId="0" borderId="20" xfId="62" applyNumberFormat="1" applyFont="1" applyFill="1" applyBorder="1" applyAlignment="1">
      <alignment horizontal="right"/>
    </xf>
    <xf numFmtId="3" fontId="5" fillId="0" borderId="10" xfId="62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166" fontId="5" fillId="0" borderId="11" xfId="40" applyNumberFormat="1" applyFont="1" applyBorder="1" applyAlignment="1">
      <alignment horizontal="right"/>
    </xf>
    <xf numFmtId="3" fontId="3" fillId="0" borderId="18" xfId="40" applyNumberFormat="1" applyFont="1" applyBorder="1" applyAlignment="1" applyProtection="1">
      <alignment horizontal="right"/>
      <protection/>
    </xf>
    <xf numFmtId="166" fontId="3" fillId="0" borderId="0" xfId="40" applyNumberFormat="1" applyFont="1" applyBorder="1" applyAlignment="1">
      <alignment/>
    </xf>
    <xf numFmtId="166" fontId="3" fillId="0" borderId="10" xfId="4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3" fontId="5" fillId="0" borderId="10" xfId="40" applyNumberFormat="1" applyFont="1" applyFill="1" applyBorder="1" applyAlignment="1">
      <alignment shrinkToFit="1"/>
    </xf>
    <xf numFmtId="166" fontId="3" fillId="0" borderId="10" xfId="40" applyNumberFormat="1" applyFont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0" xfId="4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21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3" fontId="3" fillId="0" borderId="14" xfId="40" applyNumberFormat="1" applyFont="1" applyFill="1" applyBorder="1" applyAlignment="1">
      <alignment horizontal="center"/>
    </xf>
    <xf numFmtId="166" fontId="5" fillId="0" borderId="20" xfId="4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>
      <alignment wrapText="1"/>
    </xf>
    <xf numFmtId="3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166" fontId="3" fillId="0" borderId="33" xfId="40" applyNumberFormat="1" applyFont="1" applyBorder="1" applyAlignment="1">
      <alignment/>
    </xf>
    <xf numFmtId="166" fontId="3" fillId="0" borderId="33" xfId="4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6" fontId="5" fillId="0" borderId="0" xfId="40" applyNumberFormat="1" applyFont="1" applyFill="1" applyBorder="1" applyAlignment="1">
      <alignment/>
    </xf>
    <xf numFmtId="3" fontId="5" fillId="0" borderId="0" xfId="40" applyNumberFormat="1" applyFont="1" applyFill="1" applyBorder="1" applyAlignment="1">
      <alignment/>
    </xf>
    <xf numFmtId="166" fontId="3" fillId="0" borderId="0" xfId="40" applyNumberFormat="1" applyFont="1" applyFill="1" applyBorder="1" applyAlignment="1">
      <alignment/>
    </xf>
    <xf numFmtId="3" fontId="3" fillId="0" borderId="0" xfId="40" applyNumberFormat="1" applyFont="1" applyFill="1" applyBorder="1" applyAlignment="1">
      <alignment/>
    </xf>
    <xf numFmtId="166" fontId="3" fillId="0" borderId="0" xfId="40" applyNumberFormat="1" applyFont="1" applyAlignment="1">
      <alignment horizontal="center" vertical="center"/>
    </xf>
    <xf numFmtId="166" fontId="3" fillId="0" borderId="0" xfId="40" applyNumberFormat="1" applyFont="1" applyAlignment="1">
      <alignment horizontal="center"/>
    </xf>
    <xf numFmtId="166" fontId="3" fillId="0" borderId="0" xfId="40" applyNumberFormat="1" applyFont="1" applyAlignment="1">
      <alignment/>
    </xf>
    <xf numFmtId="166" fontId="5" fillId="0" borderId="0" xfId="40" applyNumberFormat="1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3" fontId="5" fillId="0" borderId="10" xfId="40" applyNumberFormat="1" applyFont="1" applyFill="1" applyBorder="1" applyAlignment="1">
      <alignment horizontal="right" wrapText="1"/>
    </xf>
    <xf numFmtId="3" fontId="3" fillId="35" borderId="20" xfId="40" applyNumberFormat="1" applyFont="1" applyFill="1" applyBorder="1" applyAlignment="1" applyProtection="1">
      <alignment horizontal="right"/>
      <protection/>
    </xf>
    <xf numFmtId="3" fontId="5" fillId="0" borderId="18" xfId="40" applyNumberFormat="1" applyFont="1" applyBorder="1" applyAlignment="1" applyProtection="1">
      <alignment horizontal="right"/>
      <protection/>
    </xf>
    <xf numFmtId="0" fontId="17" fillId="0" borderId="26" xfId="0" applyFont="1" applyBorder="1" applyAlignment="1">
      <alignment horizontal="left"/>
    </xf>
    <xf numFmtId="3" fontId="5" fillId="0" borderId="34" xfId="0" applyNumberFormat="1" applyFont="1" applyFill="1" applyBorder="1" applyAlignment="1">
      <alignment/>
    </xf>
    <xf numFmtId="167" fontId="5" fillId="0" borderId="35" xfId="0" applyNumberFormat="1" applyFont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17" fillId="0" borderId="38" xfId="0" applyFont="1" applyBorder="1" applyAlignment="1">
      <alignment horizontal="left"/>
    </xf>
    <xf numFmtId="3" fontId="5" fillId="0" borderId="39" xfId="0" applyNumberFormat="1" applyFont="1" applyFill="1" applyBorder="1" applyAlignment="1">
      <alignment horizontal="right"/>
    </xf>
    <xf numFmtId="2" fontId="5" fillId="0" borderId="40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167" fontId="5" fillId="0" borderId="40" xfId="0" applyNumberFormat="1" applyFont="1" applyBorder="1" applyAlignment="1">
      <alignment/>
    </xf>
    <xf numFmtId="3" fontId="5" fillId="0" borderId="41" xfId="40" applyNumberFormat="1" applyFont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right"/>
    </xf>
    <xf numFmtId="167" fontId="5" fillId="0" borderId="44" xfId="0" applyNumberFormat="1" applyFont="1" applyBorder="1" applyAlignment="1">
      <alignment/>
    </xf>
    <xf numFmtId="3" fontId="5" fillId="0" borderId="45" xfId="0" applyNumberFormat="1" applyFont="1" applyFill="1" applyBorder="1" applyAlignment="1">
      <alignment horizontal="right"/>
    </xf>
    <xf numFmtId="167" fontId="3" fillId="0" borderId="44" xfId="0" applyNumberFormat="1" applyFont="1" applyBorder="1" applyAlignment="1">
      <alignment/>
    </xf>
    <xf numFmtId="3" fontId="5" fillId="0" borderId="46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4" fontId="3" fillId="0" borderId="45" xfId="4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" fontId="3" fillId="0" borderId="43" xfId="0" applyNumberFormat="1" applyFont="1" applyBorder="1" applyAlignment="1">
      <alignment/>
    </xf>
    <xf numFmtId="3" fontId="5" fillId="0" borderId="39" xfId="40" applyNumberFormat="1" applyFont="1" applyBorder="1" applyAlignment="1">
      <alignment/>
    </xf>
    <xf numFmtId="4" fontId="3" fillId="0" borderId="43" xfId="40" applyNumberFormat="1" applyFont="1" applyBorder="1" applyAlignment="1">
      <alignment/>
    </xf>
    <xf numFmtId="3" fontId="2" fillId="0" borderId="10" xfId="40" applyNumberFormat="1" applyFont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67" fontId="3" fillId="0" borderId="0" xfId="62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1" xfId="0" applyFont="1" applyBorder="1" applyAlignment="1" applyProtection="1">
      <alignment/>
      <protection locked="0"/>
    </xf>
    <xf numFmtId="3" fontId="3" fillId="0" borderId="10" xfId="40" applyNumberFormat="1" applyFont="1" applyBorder="1" applyAlignment="1">
      <alignment/>
    </xf>
    <xf numFmtId="0" fontId="3" fillId="0" borderId="51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5" fillId="0" borderId="5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7" fontId="5" fillId="0" borderId="0" xfId="62" applyNumberFormat="1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3" fillId="0" borderId="0" xfId="40" applyNumberFormat="1" applyFont="1" applyBorder="1" applyAlignment="1">
      <alignment horizontal="center"/>
    </xf>
    <xf numFmtId="166" fontId="5" fillId="0" borderId="0" xfId="4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3" xfId="62" applyNumberFormat="1" applyFont="1" applyFill="1" applyBorder="1" applyAlignment="1">
      <alignment horizontal="right"/>
    </xf>
    <xf numFmtId="167" fontId="3" fillId="0" borderId="53" xfId="62" applyNumberFormat="1" applyFont="1" applyFill="1" applyBorder="1" applyAlignment="1">
      <alignment horizontal="right"/>
    </xf>
    <xf numFmtId="0" fontId="3" fillId="0" borderId="54" xfId="0" applyFont="1" applyBorder="1" applyAlignment="1">
      <alignment/>
    </xf>
    <xf numFmtId="0" fontId="5" fillId="0" borderId="55" xfId="0" applyFont="1" applyBorder="1" applyAlignment="1">
      <alignment wrapText="1"/>
    </xf>
    <xf numFmtId="3" fontId="5" fillId="0" borderId="55" xfId="40" applyNumberFormat="1" applyFont="1" applyFill="1" applyBorder="1" applyAlignment="1">
      <alignment horizontal="right" wrapText="1"/>
    </xf>
    <xf numFmtId="3" fontId="3" fillId="0" borderId="56" xfId="40" applyNumberFormat="1" applyFont="1" applyFill="1" applyBorder="1" applyAlignment="1">
      <alignment horizontal="right" wrapText="1"/>
    </xf>
    <xf numFmtId="0" fontId="5" fillId="36" borderId="52" xfId="0" applyFont="1" applyFill="1" applyBorder="1" applyAlignment="1">
      <alignment horizontal="center"/>
    </xf>
    <xf numFmtId="3" fontId="5" fillId="0" borderId="13" xfId="40" applyNumberFormat="1" applyFont="1" applyFill="1" applyBorder="1" applyAlignment="1">
      <alignment/>
    </xf>
    <xf numFmtId="3" fontId="5" fillId="0" borderId="13" xfId="62" applyNumberFormat="1" applyFont="1" applyFill="1" applyBorder="1" applyAlignment="1">
      <alignment/>
    </xf>
    <xf numFmtId="167" fontId="5" fillId="0" borderId="53" xfId="62" applyNumberFormat="1" applyFont="1" applyFill="1" applyBorder="1" applyAlignment="1">
      <alignment/>
    </xf>
    <xf numFmtId="0" fontId="5" fillId="0" borderId="54" xfId="0" applyFont="1" applyBorder="1" applyAlignment="1">
      <alignment/>
    </xf>
    <xf numFmtId="166" fontId="5" fillId="0" borderId="55" xfId="40" applyNumberFormat="1" applyFont="1" applyFill="1" applyBorder="1" applyAlignment="1">
      <alignment/>
    </xf>
    <xf numFmtId="3" fontId="5" fillId="0" borderId="55" xfId="40" applyNumberFormat="1" applyFont="1" applyFill="1" applyBorder="1" applyAlignment="1">
      <alignment/>
    </xf>
    <xf numFmtId="3" fontId="5" fillId="0" borderId="56" xfId="40" applyNumberFormat="1" applyFont="1" applyFill="1" applyBorder="1" applyAlignment="1">
      <alignment/>
    </xf>
    <xf numFmtId="3" fontId="5" fillId="0" borderId="0" xfId="40" applyNumberFormat="1" applyFont="1" applyBorder="1" applyAlignment="1">
      <alignment horizontal="right"/>
    </xf>
    <xf numFmtId="3" fontId="3" fillId="35" borderId="10" xfId="40" applyNumberFormat="1" applyFont="1" applyFill="1" applyBorder="1" applyAlignment="1" applyProtection="1">
      <alignment horizontal="right"/>
      <protection/>
    </xf>
    <xf numFmtId="0" fontId="3" fillId="0" borderId="57" xfId="0" applyFont="1" applyBorder="1" applyAlignment="1">
      <alignment/>
    </xf>
    <xf numFmtId="166" fontId="3" fillId="0" borderId="49" xfId="40" applyNumberFormat="1" applyFont="1" applyBorder="1" applyAlignment="1">
      <alignment/>
    </xf>
    <xf numFmtId="166" fontId="3" fillId="0" borderId="49" xfId="40" applyNumberFormat="1" applyFont="1" applyBorder="1" applyAlignment="1">
      <alignment horizontal="right"/>
    </xf>
    <xf numFmtId="166" fontId="3" fillId="0" borderId="58" xfId="40" applyNumberFormat="1" applyFont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3" fontId="3" fillId="0" borderId="15" xfId="40" applyNumberFormat="1" applyFont="1" applyFill="1" applyBorder="1" applyAlignment="1">
      <alignment/>
    </xf>
    <xf numFmtId="3" fontId="5" fillId="0" borderId="15" xfId="40" applyNumberFormat="1" applyFont="1" applyFill="1" applyBorder="1" applyAlignment="1">
      <alignment/>
    </xf>
    <xf numFmtId="3" fontId="3" fillId="0" borderId="15" xfId="62" applyNumberFormat="1" applyFont="1" applyFill="1" applyBorder="1" applyAlignment="1">
      <alignment/>
    </xf>
    <xf numFmtId="3" fontId="5" fillId="0" borderId="15" xfId="62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40" applyNumberFormat="1" applyFont="1" applyFill="1" applyBorder="1" applyAlignment="1">
      <alignment/>
    </xf>
    <xf numFmtId="3" fontId="3" fillId="0" borderId="20" xfId="40" applyNumberFormat="1" applyFont="1" applyFill="1" applyBorder="1" applyAlignment="1">
      <alignment/>
    </xf>
    <xf numFmtId="3" fontId="3" fillId="0" borderId="21" xfId="40" applyNumberFormat="1" applyFont="1" applyFill="1" applyBorder="1" applyAlignment="1">
      <alignment/>
    </xf>
    <xf numFmtId="0" fontId="9" fillId="0" borderId="0" xfId="0" applyFont="1" applyAlignment="1">
      <alignment/>
    </xf>
    <xf numFmtId="3" fontId="5" fillId="0" borderId="11" xfId="62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/>
    </xf>
    <xf numFmtId="0" fontId="10" fillId="0" borderId="20" xfId="0" applyFont="1" applyFill="1" applyBorder="1" applyAlignment="1" applyProtection="1">
      <alignment horizontal="left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0" fontId="3" fillId="0" borderId="59" xfId="0" applyFont="1" applyBorder="1" applyAlignment="1">
      <alignment/>
    </xf>
    <xf numFmtId="0" fontId="2" fillId="0" borderId="55" xfId="0" applyFont="1" applyFill="1" applyBorder="1" applyAlignment="1">
      <alignment/>
    </xf>
    <xf numFmtId="3" fontId="5" fillId="0" borderId="55" xfId="40" applyNumberFormat="1" applyFont="1" applyBorder="1" applyAlignment="1" applyProtection="1">
      <alignment horizontal="right"/>
      <protection/>
    </xf>
    <xf numFmtId="3" fontId="5" fillId="0" borderId="56" xfId="40" applyNumberFormat="1" applyFont="1" applyBorder="1" applyAlignment="1" applyProtection="1">
      <alignment horizontal="right"/>
      <protection/>
    </xf>
    <xf numFmtId="0" fontId="5" fillId="0" borderId="20" xfId="0" applyFont="1" applyBorder="1" applyAlignment="1">
      <alignment wrapText="1"/>
    </xf>
    <xf numFmtId="3" fontId="5" fillId="0" borderId="20" xfId="40" applyNumberFormat="1" applyFont="1" applyFill="1" applyBorder="1" applyAlignment="1">
      <alignment horizontal="right" wrapText="1"/>
    </xf>
    <xf numFmtId="3" fontId="5" fillId="0" borderId="21" xfId="4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right"/>
    </xf>
    <xf numFmtId="0" fontId="3" fillId="34" borderId="2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/>
    </xf>
    <xf numFmtId="3" fontId="3" fillId="0" borderId="10" xfId="40" applyNumberFormat="1" applyFont="1" applyFill="1" applyBorder="1" applyAlignment="1">
      <alignment horizontal="right"/>
    </xf>
    <xf numFmtId="3" fontId="5" fillId="0" borderId="10" xfId="40" applyNumberFormat="1" applyFont="1" applyFill="1" applyBorder="1" applyAlignment="1">
      <alignment horizontal="right"/>
    </xf>
    <xf numFmtId="3" fontId="3" fillId="0" borderId="15" xfId="40" applyNumberFormat="1" applyFont="1" applyFill="1" applyBorder="1" applyAlignment="1">
      <alignment horizontal="right"/>
    </xf>
    <xf numFmtId="3" fontId="5" fillId="0" borderId="15" xfId="62" applyNumberFormat="1" applyFont="1" applyFill="1" applyBorder="1" applyAlignment="1">
      <alignment horizontal="right"/>
    </xf>
    <xf numFmtId="3" fontId="2" fillId="0" borderId="10" xfId="62" applyNumberFormat="1" applyFont="1" applyFill="1" applyBorder="1" applyAlignment="1">
      <alignment horizontal="right"/>
    </xf>
    <xf numFmtId="3" fontId="2" fillId="0" borderId="15" xfId="62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3" fontId="5" fillId="0" borderId="23" xfId="62" applyNumberFormat="1" applyFont="1" applyFill="1" applyBorder="1" applyAlignment="1">
      <alignment horizontal="right"/>
    </xf>
    <xf numFmtId="0" fontId="3" fillId="33" borderId="52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3" fontId="3" fillId="33" borderId="13" xfId="40" applyNumberFormat="1" applyFont="1" applyFill="1" applyBorder="1" applyAlignment="1">
      <alignment horizontal="right"/>
    </xf>
    <xf numFmtId="3" fontId="5" fillId="33" borderId="13" xfId="40" applyNumberFormat="1" applyFont="1" applyFill="1" applyBorder="1" applyAlignment="1">
      <alignment horizontal="right"/>
    </xf>
    <xf numFmtId="3" fontId="3" fillId="33" borderId="53" xfId="40" applyNumberFormat="1" applyFont="1" applyFill="1" applyBorder="1" applyAlignment="1">
      <alignment horizontal="right"/>
    </xf>
    <xf numFmtId="3" fontId="5" fillId="0" borderId="16" xfId="62" applyNumberFormat="1" applyFont="1" applyFill="1" applyBorder="1" applyAlignment="1">
      <alignment horizontal="right"/>
    </xf>
    <xf numFmtId="167" fontId="5" fillId="0" borderId="53" xfId="62" applyNumberFormat="1" applyFont="1" applyFill="1" applyBorder="1" applyAlignment="1">
      <alignment horizontal="right"/>
    </xf>
    <xf numFmtId="3" fontId="5" fillId="0" borderId="13" xfId="62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7" fontId="10" fillId="0" borderId="15" xfId="0" applyNumberFormat="1" applyFont="1" applyBorder="1" applyAlignment="1">
      <alignment/>
    </xf>
    <xf numFmtId="167" fontId="9" fillId="0" borderId="15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167" fontId="10" fillId="0" borderId="21" xfId="0" applyNumberFormat="1" applyFont="1" applyBorder="1" applyAlignment="1">
      <alignment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167" fontId="9" fillId="0" borderId="16" xfId="0" applyNumberFormat="1" applyFont="1" applyBorder="1" applyAlignment="1">
      <alignment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167" fontId="5" fillId="0" borderId="61" xfId="0" applyNumberFormat="1" applyFont="1" applyBorder="1" applyAlignment="1">
      <alignment/>
    </xf>
    <xf numFmtId="167" fontId="5" fillId="0" borderId="62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17" fillId="0" borderId="63" xfId="0" applyFont="1" applyBorder="1" applyAlignment="1">
      <alignment horizontal="left"/>
    </xf>
    <xf numFmtId="3" fontId="3" fillId="0" borderId="64" xfId="0" applyNumberFormat="1" applyFont="1" applyBorder="1" applyAlignment="1">
      <alignment horizontal="right" vertical="center"/>
    </xf>
    <xf numFmtId="167" fontId="5" fillId="0" borderId="65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167" fontId="3" fillId="0" borderId="65" xfId="0" applyNumberFormat="1" applyFont="1" applyBorder="1" applyAlignment="1">
      <alignment horizontal="right" vertical="center"/>
    </xf>
    <xf numFmtId="3" fontId="5" fillId="0" borderId="64" xfId="0" applyNumberFormat="1" applyFont="1" applyFill="1" applyBorder="1" applyAlignment="1">
      <alignment horizontal="right" vertical="center"/>
    </xf>
    <xf numFmtId="2" fontId="3" fillId="0" borderId="64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3" fontId="3" fillId="0" borderId="50" xfId="0" applyNumberFormat="1" applyFont="1" applyBorder="1" applyAlignment="1">
      <alignment horizontal="center" vertical="center" wrapText="1"/>
    </xf>
    <xf numFmtId="3" fontId="3" fillId="0" borderId="66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" fontId="3" fillId="0" borderId="51" xfId="0" applyNumberFormat="1" applyFont="1" applyBorder="1" applyAlignment="1">
      <alignment/>
    </xf>
    <xf numFmtId="0" fontId="3" fillId="0" borderId="67" xfId="0" applyFont="1" applyBorder="1" applyAlignment="1">
      <alignment/>
    </xf>
    <xf numFmtId="3" fontId="5" fillId="0" borderId="69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/>
    </xf>
    <xf numFmtId="167" fontId="5" fillId="0" borderId="73" xfId="0" applyNumberFormat="1" applyFont="1" applyBorder="1" applyAlignment="1">
      <alignment horizontal="right" vertical="center"/>
    </xf>
    <xf numFmtId="3" fontId="5" fillId="0" borderId="74" xfId="0" applyNumberFormat="1" applyFont="1" applyFill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167" fontId="3" fillId="0" borderId="75" xfId="0" applyNumberFormat="1" applyFont="1" applyBorder="1" applyAlignment="1">
      <alignment horizontal="right" vertical="center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3" fontId="5" fillId="0" borderId="45" xfId="0" applyNumberFormat="1" applyFont="1" applyBorder="1" applyAlignment="1">
      <alignment horizontal="right" vertical="center"/>
    </xf>
    <xf numFmtId="3" fontId="5" fillId="0" borderId="72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/>
    </xf>
    <xf numFmtId="167" fontId="3" fillId="0" borderId="44" xfId="0" applyNumberFormat="1" applyFont="1" applyBorder="1" applyAlignment="1">
      <alignment horizontal="right" vertical="center"/>
    </xf>
    <xf numFmtId="167" fontId="5" fillId="0" borderId="35" xfId="0" applyNumberFormat="1" applyFont="1" applyBorder="1" applyAlignment="1">
      <alignment horizontal="right" vertical="center"/>
    </xf>
    <xf numFmtId="3" fontId="3" fillId="0" borderId="76" xfId="0" applyNumberFormat="1" applyFont="1" applyBorder="1" applyAlignment="1">
      <alignment horizontal="right" vertical="center"/>
    </xf>
    <xf numFmtId="3" fontId="3" fillId="0" borderId="77" xfId="0" applyNumberFormat="1" applyFont="1" applyBorder="1" applyAlignment="1">
      <alignment horizontal="right" vertical="center"/>
    </xf>
    <xf numFmtId="167" fontId="3" fillId="0" borderId="78" xfId="0" applyNumberFormat="1" applyFont="1" applyBorder="1" applyAlignment="1">
      <alignment horizontal="right" vertical="center"/>
    </xf>
    <xf numFmtId="167" fontId="3" fillId="0" borderId="79" xfId="0" applyNumberFormat="1" applyFont="1" applyBorder="1" applyAlignment="1">
      <alignment horizontal="right" vertical="center"/>
    </xf>
    <xf numFmtId="167" fontId="5" fillId="0" borderId="79" xfId="0" applyNumberFormat="1" applyFont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80" xfId="0" applyNumberFormat="1" applyFont="1" applyBorder="1" applyAlignment="1">
      <alignment horizontal="right" vertical="center"/>
    </xf>
    <xf numFmtId="167" fontId="5" fillId="0" borderId="75" xfId="0" applyNumberFormat="1" applyFont="1" applyBorder="1" applyAlignment="1">
      <alignment horizontal="right" vertical="center"/>
    </xf>
    <xf numFmtId="167" fontId="5" fillId="0" borderId="81" xfId="0" applyNumberFormat="1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167" fontId="3" fillId="0" borderId="73" xfId="0" applyNumberFormat="1" applyFont="1" applyBorder="1" applyAlignment="1">
      <alignment horizontal="right" vertical="center"/>
    </xf>
    <xf numFmtId="3" fontId="3" fillId="0" borderId="7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0" xfId="40" applyNumberFormat="1" applyFont="1" applyBorder="1" applyAlignment="1">
      <alignment horizontal="right"/>
    </xf>
    <xf numFmtId="0" fontId="6" fillId="0" borderId="0" xfId="0" applyFont="1" applyAlignment="1">
      <alignment/>
    </xf>
    <xf numFmtId="167" fontId="3" fillId="0" borderId="15" xfId="62" applyNumberFormat="1" applyFont="1" applyFill="1" applyBorder="1" applyAlignment="1">
      <alignment/>
    </xf>
    <xf numFmtId="0" fontId="3" fillId="0" borderId="14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0" fontId="3" fillId="0" borderId="52" xfId="0" applyFont="1" applyBorder="1" applyAlignment="1">
      <alignment vertical="center"/>
    </xf>
    <xf numFmtId="3" fontId="3" fillId="0" borderId="13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5" fillId="0" borderId="54" xfId="0" applyFont="1" applyBorder="1" applyAlignment="1">
      <alignment vertical="center"/>
    </xf>
    <xf numFmtId="3" fontId="5" fillId="0" borderId="55" xfId="0" applyNumberFormat="1" applyFont="1" applyFill="1" applyBorder="1" applyAlignment="1">
      <alignment horizontal="right"/>
    </xf>
    <xf numFmtId="3" fontId="5" fillId="0" borderId="56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3" fontId="5" fillId="0" borderId="8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3" fontId="5" fillId="0" borderId="41" xfId="0" applyNumberFormat="1" applyFont="1" applyFill="1" applyBorder="1" applyAlignment="1">
      <alignment horizontal="right"/>
    </xf>
    <xf numFmtId="167" fontId="5" fillId="0" borderId="65" xfId="0" applyNumberFormat="1" applyFont="1" applyBorder="1" applyAlignment="1">
      <alignment/>
    </xf>
    <xf numFmtId="167" fontId="3" fillId="0" borderId="64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3" fontId="3" fillId="0" borderId="64" xfId="0" applyNumberFormat="1" applyFont="1" applyBorder="1" applyAlignment="1">
      <alignment horizontal="right"/>
    </xf>
    <xf numFmtId="167" fontId="3" fillId="0" borderId="76" xfId="0" applyNumberFormat="1" applyFont="1" applyBorder="1" applyAlignment="1">
      <alignment/>
    </xf>
    <xf numFmtId="167" fontId="3" fillId="0" borderId="79" xfId="0" applyNumberFormat="1" applyFont="1" applyBorder="1" applyAlignment="1">
      <alignment/>
    </xf>
    <xf numFmtId="4" fontId="5" fillId="0" borderId="85" xfId="0" applyNumberFormat="1" applyFont="1" applyBorder="1" applyAlignment="1">
      <alignment horizontal="right"/>
    </xf>
    <xf numFmtId="4" fontId="5" fillId="0" borderId="84" xfId="0" applyNumberFormat="1" applyFont="1" applyBorder="1" applyAlignment="1">
      <alignment horizontal="right"/>
    </xf>
    <xf numFmtId="4" fontId="5" fillId="0" borderId="86" xfId="0" applyNumberFormat="1" applyFont="1" applyBorder="1" applyAlignment="1">
      <alignment horizontal="right"/>
    </xf>
    <xf numFmtId="3" fontId="5" fillId="0" borderId="7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67" fontId="5" fillId="0" borderId="75" xfId="0" applyNumberFormat="1" applyFont="1" applyBorder="1" applyAlignment="1">
      <alignment/>
    </xf>
    <xf numFmtId="167" fontId="3" fillId="0" borderId="65" xfId="0" applyNumberFormat="1" applyFont="1" applyBorder="1" applyAlignment="1">
      <alignment/>
    </xf>
    <xf numFmtId="3" fontId="3" fillId="0" borderId="76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/>
    </xf>
    <xf numFmtId="3" fontId="5" fillId="0" borderId="85" xfId="0" applyNumberFormat="1" applyFont="1" applyBorder="1" applyAlignment="1">
      <alignment horizontal="right"/>
    </xf>
    <xf numFmtId="3" fontId="5" fillId="0" borderId="84" xfId="0" applyNumberFormat="1" applyFont="1" applyBorder="1" applyAlignment="1">
      <alignment horizontal="right"/>
    </xf>
    <xf numFmtId="3" fontId="5" fillId="0" borderId="86" xfId="0" applyNumberFormat="1" applyFont="1" applyBorder="1" applyAlignment="1">
      <alignment horizontal="right"/>
    </xf>
    <xf numFmtId="0" fontId="5" fillId="0" borderId="87" xfId="0" applyFont="1" applyBorder="1" applyAlignment="1">
      <alignment/>
    </xf>
    <xf numFmtId="3" fontId="5" fillId="0" borderId="88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167" fontId="3" fillId="0" borderId="45" xfId="0" applyNumberFormat="1" applyFont="1" applyBorder="1" applyAlignment="1">
      <alignment/>
    </xf>
    <xf numFmtId="3" fontId="3" fillId="0" borderId="64" xfId="40" applyNumberFormat="1" applyFont="1" applyBorder="1" applyAlignment="1">
      <alignment/>
    </xf>
    <xf numFmtId="3" fontId="3" fillId="0" borderId="76" xfId="40" applyNumberFormat="1" applyFont="1" applyBorder="1" applyAlignment="1">
      <alignment/>
    </xf>
    <xf numFmtId="3" fontId="5" fillId="0" borderId="72" xfId="4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 quotePrefix="1">
      <alignment horizontal="left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 quotePrefix="1">
      <alignment horizontal="left"/>
    </xf>
    <xf numFmtId="0" fontId="3" fillId="0" borderId="92" xfId="0" applyFont="1" applyBorder="1" applyAlignment="1">
      <alignment horizontal="left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 quotePrefix="1">
      <alignment horizontal="left"/>
    </xf>
    <xf numFmtId="0" fontId="3" fillId="0" borderId="95" xfId="0" applyFont="1" applyBorder="1" applyAlignment="1">
      <alignment horizontal="left"/>
    </xf>
    <xf numFmtId="0" fontId="3" fillId="0" borderId="96" xfId="0" applyFont="1" applyBorder="1" applyAlignment="1">
      <alignment/>
    </xf>
    <xf numFmtId="0" fontId="3" fillId="0" borderId="97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94" xfId="0" applyFont="1" applyBorder="1" applyAlignment="1">
      <alignment/>
    </xf>
    <xf numFmtId="172" fontId="3" fillId="0" borderId="69" xfId="40" applyNumberFormat="1" applyFont="1" applyBorder="1" applyAlignment="1">
      <alignment horizontal="right"/>
    </xf>
    <xf numFmtId="172" fontId="3" fillId="0" borderId="98" xfId="40" applyNumberFormat="1" applyFont="1" applyBorder="1" applyAlignment="1">
      <alignment/>
    </xf>
    <xf numFmtId="172" fontId="3" fillId="0" borderId="99" xfId="40" applyNumberFormat="1" applyFont="1" applyBorder="1" applyAlignment="1">
      <alignment/>
    </xf>
    <xf numFmtId="3" fontId="5" fillId="0" borderId="34" xfId="0" applyNumberFormat="1" applyFont="1" applyBorder="1" applyAlignment="1">
      <alignment horizontal="right" vertical="center"/>
    </xf>
    <xf numFmtId="172" fontId="3" fillId="0" borderId="100" xfId="40" applyNumberFormat="1" applyFont="1" applyBorder="1" applyAlignment="1">
      <alignment horizontal="right"/>
    </xf>
    <xf numFmtId="172" fontId="3" fillId="0" borderId="98" xfId="40" applyNumberFormat="1" applyFont="1" applyBorder="1" applyAlignment="1">
      <alignment horizontal="right"/>
    </xf>
    <xf numFmtId="172" fontId="3" fillId="0" borderId="76" xfId="40" applyNumberFormat="1" applyFont="1" applyBorder="1" applyAlignment="1">
      <alignment/>
    </xf>
    <xf numFmtId="172" fontId="3" fillId="0" borderId="45" xfId="4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172" fontId="3" fillId="0" borderId="76" xfId="40" applyNumberFormat="1" applyFont="1" applyBorder="1" applyAlignment="1">
      <alignment horizontal="right"/>
    </xf>
    <xf numFmtId="172" fontId="3" fillId="0" borderId="99" xfId="40" applyNumberFormat="1" applyFont="1" applyBorder="1" applyAlignment="1">
      <alignment horizontal="right"/>
    </xf>
    <xf numFmtId="172" fontId="3" fillId="0" borderId="45" xfId="40" applyNumberFormat="1" applyFont="1" applyBorder="1" applyAlignment="1">
      <alignment/>
    </xf>
    <xf numFmtId="172" fontId="3" fillId="0" borderId="100" xfId="40" applyNumberFormat="1" applyFont="1" applyBorder="1" applyAlignment="1">
      <alignment/>
    </xf>
    <xf numFmtId="167" fontId="5" fillId="0" borderId="78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/>
    </xf>
    <xf numFmtId="3" fontId="3" fillId="0" borderId="8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/>
    </xf>
    <xf numFmtId="0" fontId="5" fillId="0" borderId="67" xfId="0" applyFon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167" fontId="5" fillId="0" borderId="53" xfId="62" applyNumberFormat="1" applyFont="1" applyBorder="1" applyAlignment="1">
      <alignment/>
    </xf>
    <xf numFmtId="0" fontId="3" fillId="0" borderId="94" xfId="0" applyFont="1" applyBorder="1" applyAlignment="1">
      <alignment horizontal="left"/>
    </xf>
    <xf numFmtId="167" fontId="9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 horizontal="right" vertical="center"/>
    </xf>
    <xf numFmtId="172" fontId="3" fillId="0" borderId="43" xfId="40" applyNumberFormat="1" applyFont="1" applyBorder="1" applyAlignment="1">
      <alignment horizontal="right"/>
    </xf>
    <xf numFmtId="172" fontId="3" fillId="0" borderId="102" xfId="40" applyNumberFormat="1" applyFont="1" applyBorder="1" applyAlignment="1">
      <alignment/>
    </xf>
    <xf numFmtId="172" fontId="3" fillId="0" borderId="77" xfId="40" applyNumberFormat="1" applyFont="1" applyBorder="1" applyAlignment="1">
      <alignment/>
    </xf>
    <xf numFmtId="3" fontId="5" fillId="0" borderId="11" xfId="40" applyNumberFormat="1" applyFont="1" applyBorder="1" applyAlignment="1">
      <alignment/>
    </xf>
    <xf numFmtId="167" fontId="9" fillId="0" borderId="21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0" fontId="0" fillId="0" borderId="0" xfId="0" applyAlignment="1">
      <alignment/>
    </xf>
    <xf numFmtId="49" fontId="10" fillId="0" borderId="54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9" fillId="38" borderId="2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Continuous" wrapText="1"/>
    </xf>
    <xf numFmtId="3" fontId="9" fillId="0" borderId="11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49" fontId="10" fillId="0" borderId="55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5" fillId="0" borderId="103" xfId="0" applyFont="1" applyFill="1" applyBorder="1" applyAlignment="1">
      <alignment/>
    </xf>
    <xf numFmtId="3" fontId="3" fillId="0" borderId="56" xfId="40" applyNumberFormat="1" applyFont="1" applyBorder="1" applyAlignment="1" applyProtection="1">
      <alignment horizontal="right"/>
      <protection/>
    </xf>
    <xf numFmtId="3" fontId="5" fillId="0" borderId="104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17" fillId="0" borderId="106" xfId="0" applyFont="1" applyBorder="1" applyAlignment="1">
      <alignment horizontal="left"/>
    </xf>
    <xf numFmtId="0" fontId="5" fillId="0" borderId="107" xfId="0" applyFont="1" applyBorder="1" applyAlignment="1">
      <alignment/>
    </xf>
    <xf numFmtId="3" fontId="5" fillId="0" borderId="85" xfId="40" applyNumberFormat="1" applyFont="1" applyBorder="1" applyAlignment="1">
      <alignment horizontal="right"/>
    </xf>
    <xf numFmtId="3" fontId="5" fillId="0" borderId="84" xfId="4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88" xfId="0" applyNumberFormat="1" applyFont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 vertical="center"/>
    </xf>
    <xf numFmtId="164" fontId="3" fillId="0" borderId="86" xfId="0" applyNumberFormat="1" applyFont="1" applyBorder="1" applyAlignment="1">
      <alignment horizontal="right" vertical="center"/>
    </xf>
    <xf numFmtId="3" fontId="5" fillId="0" borderId="85" xfId="0" applyNumberFormat="1" applyFont="1" applyBorder="1" applyAlignment="1">
      <alignment horizontal="right" vertical="center"/>
    </xf>
    <xf numFmtId="3" fontId="5" fillId="0" borderId="84" xfId="0" applyNumberFormat="1" applyFont="1" applyBorder="1" applyAlignment="1">
      <alignment horizontal="right" vertical="center"/>
    </xf>
    <xf numFmtId="164" fontId="5" fillId="0" borderId="86" xfId="0" applyNumberFormat="1" applyFont="1" applyBorder="1" applyAlignment="1">
      <alignment horizontal="right" vertical="center"/>
    </xf>
    <xf numFmtId="0" fontId="17" fillId="0" borderId="108" xfId="0" applyFont="1" applyBorder="1" applyAlignment="1">
      <alignment horizontal="left"/>
    </xf>
    <xf numFmtId="0" fontId="5" fillId="0" borderId="27" xfId="0" applyFont="1" applyBorder="1" applyAlignment="1">
      <alignment/>
    </xf>
    <xf numFmtId="3" fontId="3" fillId="0" borderId="109" xfId="0" applyNumberFormat="1" applyFont="1" applyBorder="1" applyAlignment="1">
      <alignment horizontal="right" vertical="center"/>
    </xf>
    <xf numFmtId="3" fontId="3" fillId="0" borderId="105" xfId="0" applyNumberFormat="1" applyFont="1" applyBorder="1" applyAlignment="1">
      <alignment horizontal="right" vertical="center"/>
    </xf>
    <xf numFmtId="167" fontId="3" fillId="0" borderId="110" xfId="0" applyNumberFormat="1" applyFont="1" applyBorder="1" applyAlignment="1">
      <alignment horizontal="right" vertical="center"/>
    </xf>
    <xf numFmtId="3" fontId="3" fillId="0" borderId="104" xfId="0" applyNumberFormat="1" applyFont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3" fillId="0" borderId="85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167" fontId="3" fillId="0" borderId="40" xfId="0" applyNumberFormat="1" applyFont="1" applyBorder="1" applyAlignment="1">
      <alignment horizontal="right" vertical="center"/>
    </xf>
    <xf numFmtId="3" fontId="3" fillId="0" borderId="111" xfId="0" applyNumberFormat="1" applyFont="1" applyBorder="1" applyAlignment="1">
      <alignment horizontal="right" vertical="center"/>
    </xf>
    <xf numFmtId="3" fontId="5" fillId="0" borderId="7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0" xfId="40" applyNumberFormat="1" applyFont="1" applyBorder="1" applyAlignment="1" applyProtection="1">
      <alignment horizontal="right"/>
      <protection/>
    </xf>
    <xf numFmtId="0" fontId="3" fillId="34" borderId="14" xfId="0" applyFont="1" applyFill="1" applyBorder="1" applyAlignment="1">
      <alignment/>
    </xf>
    <xf numFmtId="166" fontId="3" fillId="0" borderId="15" xfId="40" applyNumberFormat="1" applyFont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167" fontId="2" fillId="0" borderId="15" xfId="62" applyNumberFormat="1" applyFont="1" applyBorder="1" applyAlignment="1">
      <alignment horizontal="right"/>
    </xf>
    <xf numFmtId="3" fontId="5" fillId="0" borderId="15" xfId="40" applyNumberFormat="1" applyFont="1" applyBorder="1" applyAlignment="1">
      <alignment horizontal="right"/>
    </xf>
    <xf numFmtId="3" fontId="5" fillId="0" borderId="15" xfId="40" applyNumberFormat="1" applyFont="1" applyBorder="1" applyAlignment="1" applyProtection="1">
      <alignment horizontal="right"/>
      <protection/>
    </xf>
    <xf numFmtId="3" fontId="3" fillId="0" borderId="15" xfId="40" applyNumberFormat="1" applyFont="1" applyBorder="1" applyAlignment="1" applyProtection="1">
      <alignment horizontal="right"/>
      <protection/>
    </xf>
    <xf numFmtId="3" fontId="2" fillId="0" borderId="15" xfId="40" applyNumberFormat="1" applyFont="1" applyBorder="1" applyAlignment="1" applyProtection="1">
      <alignment horizontal="right"/>
      <protection/>
    </xf>
    <xf numFmtId="0" fontId="3" fillId="35" borderId="14" xfId="0" applyFont="1" applyFill="1" applyBorder="1" applyAlignment="1">
      <alignment/>
    </xf>
    <xf numFmtId="3" fontId="3" fillId="35" borderId="15" xfId="40" applyNumberFormat="1" applyFont="1" applyFill="1" applyBorder="1" applyAlignment="1" applyProtection="1">
      <alignment horizontal="right"/>
      <protection/>
    </xf>
    <xf numFmtId="0" fontId="5" fillId="34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1" xfId="0" applyFont="1" applyBorder="1" applyAlignment="1" applyProtection="1" quotePrefix="1">
      <alignment horizontal="left" indent="4"/>
      <protection locked="0"/>
    </xf>
    <xf numFmtId="3" fontId="0" fillId="0" borderId="0" xfId="0" applyNumberFormat="1" applyAlignment="1">
      <alignment/>
    </xf>
    <xf numFmtId="166" fontId="9" fillId="0" borderId="10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6" fontId="9" fillId="0" borderId="0" xfId="40" applyNumberFormat="1" applyFont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6" fontId="18" fillId="0" borderId="10" xfId="4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8" fillId="0" borderId="14" xfId="0" applyFont="1" applyBorder="1" applyAlignment="1">
      <alignment horizontal="center"/>
    </xf>
    <xf numFmtId="167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166" fontId="10" fillId="0" borderId="20" xfId="0" applyNumberFormat="1" applyFont="1" applyBorder="1" applyAlignment="1">
      <alignment horizontal="left" vertical="center" wrapText="1"/>
    </xf>
    <xf numFmtId="166" fontId="10" fillId="0" borderId="55" xfId="40" applyNumberFormat="1" applyFont="1" applyBorder="1" applyAlignment="1">
      <alignment horizontal="center" vertical="center" wrapText="1"/>
    </xf>
    <xf numFmtId="166" fontId="9" fillId="0" borderId="11" xfId="4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166" fontId="10" fillId="0" borderId="55" xfId="40" applyNumberFormat="1" applyFont="1" applyBorder="1" applyAlignment="1">
      <alignment horizontal="center" vertical="center"/>
    </xf>
    <xf numFmtId="49" fontId="10" fillId="0" borderId="112" xfId="0" applyNumberFormat="1" applyFont="1" applyBorder="1" applyAlignment="1">
      <alignment horizontal="center" vertical="center"/>
    </xf>
    <xf numFmtId="49" fontId="10" fillId="0" borderId="113" xfId="0" applyNumberFormat="1" applyFont="1" applyBorder="1" applyAlignment="1">
      <alignment horizontal="center" vertical="center"/>
    </xf>
    <xf numFmtId="166" fontId="10" fillId="0" borderId="113" xfId="40" applyNumberFormat="1" applyFont="1" applyBorder="1" applyAlignment="1">
      <alignment horizontal="center" vertical="center"/>
    </xf>
    <xf numFmtId="49" fontId="10" fillId="0" borderId="114" xfId="0" applyNumberFormat="1" applyFont="1" applyBorder="1" applyAlignment="1">
      <alignment horizontal="center" vertical="center"/>
    </xf>
    <xf numFmtId="49" fontId="9" fillId="0" borderId="115" xfId="0" applyNumberFormat="1" applyFont="1" applyFill="1" applyBorder="1" applyAlignment="1">
      <alignment vertic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3" xfId="0" applyFont="1" applyBorder="1" applyAlignment="1">
      <alignment horizontal="center" wrapText="1"/>
    </xf>
    <xf numFmtId="0" fontId="10" fillId="0" borderId="113" xfId="0" applyFont="1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11" fillId="0" borderId="0" xfId="0" applyFont="1" applyAlignment="1">
      <alignment/>
    </xf>
    <xf numFmtId="3" fontId="6" fillId="0" borderId="0" xfId="40" applyNumberFormat="1" applyFont="1" applyBorder="1" applyAlignment="1">
      <alignment horizontal="right"/>
    </xf>
    <xf numFmtId="3" fontId="3" fillId="0" borderId="0" xfId="40" applyNumberFormat="1" applyFont="1" applyBorder="1" applyAlignment="1">
      <alignment horizontal="right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2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3" fontId="3" fillId="35" borderId="15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0" borderId="5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3" fontId="2" fillId="0" borderId="55" xfId="0" applyNumberFormat="1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5" fillId="0" borderId="15" xfId="0" applyNumberFormat="1" applyFont="1" applyBorder="1" applyAlignment="1">
      <alignment horizontal="right" wrapText="1"/>
    </xf>
    <xf numFmtId="3" fontId="5" fillId="0" borderId="13" xfId="40" applyNumberFormat="1" applyFont="1" applyBorder="1" applyAlignment="1" applyProtection="1">
      <alignment horizontal="right"/>
      <protection/>
    </xf>
    <xf numFmtId="0" fontId="5" fillId="0" borderId="11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66" fontId="3" fillId="0" borderId="10" xfId="40" applyNumberFormat="1" applyFont="1" applyBorder="1" applyAlignment="1">
      <alignment/>
    </xf>
    <xf numFmtId="166" fontId="3" fillId="0" borderId="15" xfId="4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2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0" fontId="11" fillId="0" borderId="0" xfId="0" applyFont="1" applyAlignment="1">
      <alignment horizontal="left"/>
    </xf>
    <xf numFmtId="10" fontId="5" fillId="0" borderId="0" xfId="0" applyNumberFormat="1" applyFont="1" applyAlignment="1">
      <alignment/>
    </xf>
    <xf numFmtId="0" fontId="5" fillId="0" borderId="13" xfId="0" applyFont="1" applyFill="1" applyBorder="1" applyAlignment="1">
      <alignment shrinkToFit="1"/>
    </xf>
    <xf numFmtId="3" fontId="5" fillId="0" borderId="21" xfId="4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2" fillId="0" borderId="0" xfId="43" applyFont="1" applyAlignment="1" applyProtection="1">
      <alignment horizontal="justify"/>
      <protection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3" fontId="2" fillId="0" borderId="21" xfId="0" applyNumberFormat="1" applyFont="1" applyBorder="1" applyAlignment="1">
      <alignment/>
    </xf>
    <xf numFmtId="166" fontId="3" fillId="0" borderId="11" xfId="40" applyNumberFormat="1" applyFont="1" applyBorder="1" applyAlignment="1">
      <alignment/>
    </xf>
    <xf numFmtId="166" fontId="3" fillId="0" borderId="23" xfId="4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/>
    </xf>
    <xf numFmtId="0" fontId="3" fillId="0" borderId="117" xfId="0" applyFont="1" applyBorder="1" applyAlignment="1">
      <alignment horizontal="center" vertical="center"/>
    </xf>
    <xf numFmtId="3" fontId="5" fillId="0" borderId="118" xfId="0" applyNumberFormat="1" applyFont="1" applyBorder="1" applyAlignment="1">
      <alignment horizontal="right" vertical="center"/>
    </xf>
    <xf numFmtId="172" fontId="3" fillId="0" borderId="69" xfId="40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3" fontId="5" fillId="0" borderId="10" xfId="40" applyNumberFormat="1" applyFont="1" applyFill="1" applyBorder="1" applyAlignment="1">
      <alignment horizontal="right" vertical="center" wrapText="1"/>
    </xf>
    <xf numFmtId="3" fontId="5" fillId="0" borderId="15" xfId="40" applyNumberFormat="1" applyFont="1" applyFill="1" applyBorder="1" applyAlignment="1">
      <alignment horizontal="right" vertical="center" wrapText="1"/>
    </xf>
    <xf numFmtId="0" fontId="5" fillId="0" borderId="50" xfId="0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/>
    </xf>
    <xf numFmtId="0" fontId="5" fillId="0" borderId="118" xfId="0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>
      <alignment/>
    </xf>
    <xf numFmtId="167" fontId="3" fillId="0" borderId="16" xfId="62" applyNumberFormat="1" applyFont="1" applyBorder="1" applyAlignment="1">
      <alignment/>
    </xf>
    <xf numFmtId="167" fontId="5" fillId="0" borderId="53" xfId="62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5" fillId="0" borderId="5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3" fontId="5" fillId="0" borderId="13" xfId="40" applyNumberFormat="1" applyFont="1" applyBorder="1" applyAlignment="1" applyProtection="1">
      <alignment horizontal="right"/>
      <protection/>
    </xf>
    <xf numFmtId="0" fontId="3" fillId="0" borderId="11" xfId="0" applyFont="1" applyBorder="1" applyAlignment="1">
      <alignment horizontal="right"/>
    </xf>
    <xf numFmtId="166" fontId="5" fillId="0" borderId="32" xfId="4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6" fontId="5" fillId="0" borderId="84" xfId="40" applyNumberFormat="1" applyFont="1" applyBorder="1" applyAlignment="1">
      <alignment horizontal="center" vertical="center" wrapText="1"/>
    </xf>
    <xf numFmtId="166" fontId="5" fillId="0" borderId="11" xfId="4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3" fontId="5" fillId="0" borderId="119" xfId="0" applyNumberFormat="1" applyFont="1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3" fontId="5" fillId="0" borderId="122" xfId="0" applyNumberFormat="1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3" fontId="5" fillId="0" borderId="124" xfId="0" applyNumberFormat="1" applyFont="1" applyBorder="1" applyAlignment="1">
      <alignment horizontal="center" vertical="center"/>
    </xf>
    <xf numFmtId="3" fontId="5" fillId="0" borderId="120" xfId="0" applyNumberFormat="1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3" fontId="5" fillId="0" borderId="124" xfId="0" applyNumberFormat="1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5" fillId="0" borderId="126" xfId="0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87" xfId="0" applyNumberFormat="1" applyFont="1" applyBorder="1" applyAlignment="1">
      <alignment horizontal="center" vertical="center" wrapText="1"/>
    </xf>
    <xf numFmtId="3" fontId="5" fillId="0" borderId="8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9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2" fillId="0" borderId="53" xfId="40" applyNumberFormat="1" applyFont="1" applyBorder="1" applyAlignment="1" applyProtection="1">
      <alignment horizontal="right"/>
      <protection/>
    </xf>
    <xf numFmtId="3" fontId="2" fillId="0" borderId="23" xfId="40" applyNumberFormat="1" applyFont="1" applyBorder="1" applyAlignment="1" applyProtection="1">
      <alignment horizontal="right"/>
      <protection/>
    </xf>
    <xf numFmtId="3" fontId="2" fillId="0" borderId="13" xfId="40" applyNumberFormat="1" applyFont="1" applyBorder="1" applyAlignment="1" applyProtection="1">
      <alignment horizontal="right"/>
      <protection/>
    </xf>
    <xf numFmtId="3" fontId="2" fillId="0" borderId="11" xfId="40" applyNumberFormat="1" applyFont="1" applyBorder="1" applyAlignment="1" applyProtection="1">
      <alignment horizontal="right"/>
      <protection/>
    </xf>
    <xf numFmtId="0" fontId="2" fillId="0" borderId="5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166" fontId="5" fillId="0" borderId="53" xfId="4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66" fontId="5" fillId="0" borderId="13" xfId="4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44</xdr:row>
      <xdr:rowOff>85725</xdr:rowOff>
    </xdr:from>
    <xdr:to>
      <xdr:col>1</xdr:col>
      <xdr:colOff>3038475</xdr:colOff>
      <xdr:row>44</xdr:row>
      <xdr:rowOff>85725</xdr:rowOff>
    </xdr:to>
    <xdr:sp>
      <xdr:nvSpPr>
        <xdr:cNvPr id="1" name="Line 1"/>
        <xdr:cNvSpPr>
          <a:spLocks/>
        </xdr:cNvSpPr>
      </xdr:nvSpPr>
      <xdr:spPr>
        <a:xfrm>
          <a:off x="1781175" y="8429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419725" y="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38100</xdr:rowOff>
    </xdr:from>
    <xdr:to>
      <xdr:col>5</xdr:col>
      <xdr:colOff>0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419725" y="29813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7">
      <selection activeCell="F7" sqref="F7:F11"/>
    </sheetView>
  </sheetViews>
  <sheetFormatPr defaultColWidth="9.140625" defaultRowHeight="12.75"/>
  <cols>
    <col min="1" max="1" width="7.140625" style="1" customWidth="1"/>
    <col min="2" max="2" width="53.7109375" style="1" customWidth="1"/>
    <col min="3" max="3" width="13.28125" style="1" customWidth="1"/>
    <col min="4" max="4" width="11.7109375" style="1" bestFit="1" customWidth="1"/>
    <col min="5" max="5" width="14.140625" style="1" bestFit="1" customWidth="1"/>
    <col min="6" max="16384" width="9.140625" style="1" customWidth="1"/>
  </cols>
  <sheetData>
    <row r="1" spans="1:5" ht="13.5" thickBot="1">
      <c r="A1" s="134"/>
      <c r="B1" s="134"/>
      <c r="C1" s="134"/>
      <c r="D1" s="134"/>
      <c r="E1" s="136" t="s">
        <v>86</v>
      </c>
    </row>
    <row r="2" spans="1:5" s="156" customFormat="1" ht="12.75">
      <c r="A2" s="695" t="s">
        <v>87</v>
      </c>
      <c r="B2" s="693" t="s">
        <v>88</v>
      </c>
      <c r="C2" s="693" t="s">
        <v>315</v>
      </c>
      <c r="D2" s="693" t="s">
        <v>294</v>
      </c>
      <c r="E2" s="691" t="s">
        <v>35</v>
      </c>
    </row>
    <row r="3" spans="1:5" s="156" customFormat="1" ht="12.75">
      <c r="A3" s="696"/>
      <c r="B3" s="697"/>
      <c r="C3" s="694"/>
      <c r="D3" s="694"/>
      <c r="E3" s="692"/>
    </row>
    <row r="4" spans="1:5" s="87" customFormat="1" ht="13.5" thickBot="1">
      <c r="A4" s="61" t="s">
        <v>89</v>
      </c>
      <c r="B4" s="62" t="s">
        <v>43</v>
      </c>
      <c r="C4" s="62" t="s">
        <v>45</v>
      </c>
      <c r="D4" s="62" t="s">
        <v>47</v>
      </c>
      <c r="E4" s="128" t="s">
        <v>36</v>
      </c>
    </row>
    <row r="5" spans="1:5" s="87" customFormat="1" ht="15" customHeight="1">
      <c r="A5" s="58"/>
      <c r="B5" s="59" t="s">
        <v>90</v>
      </c>
      <c r="C5" s="113"/>
      <c r="D5" s="113"/>
      <c r="E5" s="60"/>
    </row>
    <row r="6" spans="1:5" s="87" customFormat="1" ht="15" customHeight="1">
      <c r="A6" s="44" t="s">
        <v>91</v>
      </c>
      <c r="B6" s="3" t="s">
        <v>92</v>
      </c>
      <c r="C6" s="5">
        <f>+C7+C8+C9</f>
        <v>11512284</v>
      </c>
      <c r="D6" s="5">
        <f>+D7+D8+D9</f>
        <v>11414575</v>
      </c>
      <c r="E6" s="45">
        <f>+D6/C6</f>
        <v>0.992</v>
      </c>
    </row>
    <row r="7" spans="1:6" s="87" customFormat="1" ht="27" customHeight="1">
      <c r="A7" s="44" t="s">
        <v>38</v>
      </c>
      <c r="B7" s="16" t="s">
        <v>14</v>
      </c>
      <c r="C7" s="5">
        <f>+'1. a. mell.Műk. bev. és kiad.'!C7</f>
        <v>1275688</v>
      </c>
      <c r="D7" s="5">
        <f>+'1. a. mell.Műk. bev. és kiad.'!D7</f>
        <v>1429816</v>
      </c>
      <c r="E7" s="45">
        <f>+D7/C7</f>
        <v>1.121</v>
      </c>
      <c r="F7" s="90"/>
    </row>
    <row r="8" spans="1:5" s="87" customFormat="1" ht="15" customHeight="1">
      <c r="A8" s="44" t="s">
        <v>43</v>
      </c>
      <c r="B8" s="3" t="s">
        <v>346</v>
      </c>
      <c r="C8" s="6">
        <f>+'1. a. mell.Műk. bev. és kiad.'!C8</f>
        <v>301944</v>
      </c>
      <c r="D8" s="6">
        <f>+'1. a. mell.Műk. bev. és kiad.'!D8</f>
        <v>587830</v>
      </c>
      <c r="E8" s="45">
        <f aca="true" t="shared" si="0" ref="E8:E27">+D8/C8</f>
        <v>1.947</v>
      </c>
    </row>
    <row r="9" spans="1:6" s="87" customFormat="1" ht="15" customHeight="1">
      <c r="A9" s="46" t="s">
        <v>93</v>
      </c>
      <c r="B9" s="3" t="s">
        <v>94</v>
      </c>
      <c r="C9" s="6">
        <f>SUM(C10:C13)</f>
        <v>9934652</v>
      </c>
      <c r="D9" s="6">
        <f>SUM(D10:D13)</f>
        <v>9396929</v>
      </c>
      <c r="E9" s="45">
        <f t="shared" si="0"/>
        <v>0.946</v>
      </c>
      <c r="F9" s="90"/>
    </row>
    <row r="10" spans="1:5" ht="15" customHeight="1">
      <c r="A10" s="47"/>
      <c r="B10" s="7" t="s">
        <v>355</v>
      </c>
      <c r="C10" s="8">
        <f>+'1. a. mell.Műk. bev. és kiad.'!C10</f>
        <v>8222412</v>
      </c>
      <c r="D10" s="8">
        <f>+'1. a. mell.Műk. bev. és kiad.'!D10</f>
        <v>8284049</v>
      </c>
      <c r="E10" s="48">
        <f t="shared" si="0"/>
        <v>1.007</v>
      </c>
    </row>
    <row r="11" spans="1:6" ht="15" customHeight="1">
      <c r="A11" s="47"/>
      <c r="B11" s="9" t="s">
        <v>516</v>
      </c>
      <c r="C11" s="8">
        <f>+'1. a. mell.Műk. bev. és kiad.'!C16</f>
        <v>1084702</v>
      </c>
      <c r="D11" s="8">
        <f>+'1. a. mell.Műk. bev. és kiad.'!D16</f>
        <v>948880</v>
      </c>
      <c r="E11" s="48">
        <f t="shared" si="0"/>
        <v>0.875</v>
      </c>
      <c r="F11" s="79"/>
    </row>
    <row r="12" spans="1:5" ht="15" customHeight="1">
      <c r="A12" s="47"/>
      <c r="B12" s="7" t="s">
        <v>518</v>
      </c>
      <c r="C12" s="8">
        <f>+'1. a. mell.Műk. bev. és kiad.'!C20</f>
        <v>50390</v>
      </c>
      <c r="D12" s="8">
        <f>+'1. a. mell.Műk. bev. és kiad.'!D20</f>
        <v>75000</v>
      </c>
      <c r="E12" s="48">
        <f t="shared" si="0"/>
        <v>1.488</v>
      </c>
    </row>
    <row r="13" spans="1:5" ht="15" customHeight="1">
      <c r="A13" s="47"/>
      <c r="B13" s="7" t="s">
        <v>519</v>
      </c>
      <c r="C13" s="8">
        <f>'1. a. mell.Műk. bev. és kiad.'!C21</f>
        <v>577148</v>
      </c>
      <c r="D13" s="8">
        <f>'1. a. mell.Műk. bev. és kiad.'!D21</f>
        <v>89000</v>
      </c>
      <c r="E13" s="48">
        <f t="shared" si="0"/>
        <v>0.154</v>
      </c>
    </row>
    <row r="14" spans="1:5" ht="15" customHeight="1">
      <c r="A14" s="46" t="s">
        <v>97</v>
      </c>
      <c r="B14" s="3" t="s">
        <v>98</v>
      </c>
      <c r="C14" s="6"/>
      <c r="D14" s="6"/>
      <c r="E14" s="48"/>
    </row>
    <row r="15" spans="1:5" s="87" customFormat="1" ht="15" customHeight="1">
      <c r="A15" s="46" t="s">
        <v>38</v>
      </c>
      <c r="B15" s="3" t="s">
        <v>99</v>
      </c>
      <c r="C15" s="6">
        <f>SUM(C16:C19)</f>
        <v>3626483</v>
      </c>
      <c r="D15" s="6">
        <f>SUM(D16:D19)</f>
        <v>3496988</v>
      </c>
      <c r="E15" s="45">
        <f t="shared" si="0"/>
        <v>0.964</v>
      </c>
    </row>
    <row r="16" spans="1:5" ht="15" customHeight="1">
      <c r="A16" s="47"/>
      <c r="B16" s="7" t="s">
        <v>356</v>
      </c>
      <c r="C16" s="8">
        <f>+'1. a. mell.Műk. bev. és kiad.'!C23</f>
        <v>3517924</v>
      </c>
      <c r="D16" s="8">
        <f>+'1. a. mell.Műk. bev. és kiad.'!D23</f>
        <v>3200273</v>
      </c>
      <c r="E16" s="48">
        <f t="shared" si="0"/>
        <v>0.91</v>
      </c>
    </row>
    <row r="17" spans="1:5" ht="15" customHeight="1">
      <c r="A17" s="47"/>
      <c r="B17" s="7" t="s">
        <v>517</v>
      </c>
      <c r="C17" s="8">
        <f>+'1. a. mell.Műk. bev. és kiad.'!C24+'1.b. Felh. bev. és kiad.'!C12</f>
        <v>2520</v>
      </c>
      <c r="D17" s="8">
        <f>+'1. a. mell.Műk. bev. és kiad.'!D24+'1.b. Felh. bev. és kiad.'!D12</f>
        <v>0</v>
      </c>
      <c r="E17" s="48">
        <f t="shared" si="0"/>
        <v>0</v>
      </c>
    </row>
    <row r="18" spans="1:5" ht="15" customHeight="1">
      <c r="A18" s="47"/>
      <c r="B18" s="7" t="s">
        <v>357</v>
      </c>
      <c r="C18" s="8">
        <f>+'1. a. mell.Műk. bev. és kiad.'!C25</f>
        <v>106039</v>
      </c>
      <c r="D18" s="8">
        <f>+'1. a. mell.Műk. bev. és kiad.'!D25</f>
        <v>296715</v>
      </c>
      <c r="E18" s="48">
        <f t="shared" si="0"/>
        <v>2.798</v>
      </c>
    </row>
    <row r="19" spans="1:5" ht="15" customHeight="1">
      <c r="A19" s="47"/>
      <c r="B19" s="7" t="s">
        <v>520</v>
      </c>
      <c r="C19" s="8">
        <f>+'1.b. Felh. bev. és kiad.'!C10</f>
        <v>0</v>
      </c>
      <c r="D19" s="8">
        <f>+'1.b. Felh. bev. és kiad.'!D10</f>
        <v>0</v>
      </c>
      <c r="E19" s="48"/>
    </row>
    <row r="20" spans="1:5" s="87" customFormat="1" ht="15" customHeight="1">
      <c r="A20" s="46" t="s">
        <v>105</v>
      </c>
      <c r="B20" s="3" t="s">
        <v>106</v>
      </c>
      <c r="C20" s="6">
        <f>SUM(C21:C23)</f>
        <v>123723</v>
      </c>
      <c r="D20" s="6">
        <f>SUM(D21:D23)</f>
        <v>112998</v>
      </c>
      <c r="E20" s="45">
        <f t="shared" si="0"/>
        <v>0.913</v>
      </c>
    </row>
    <row r="21" spans="1:5" ht="15" customHeight="1">
      <c r="A21" s="47" t="s">
        <v>38</v>
      </c>
      <c r="B21" s="7" t="s">
        <v>358</v>
      </c>
      <c r="C21" s="8">
        <f>+'1.b. Felh. bev. és kiad.'!C7</f>
        <v>0</v>
      </c>
      <c r="D21" s="8">
        <f>+'1.b. Felh. bev. és kiad.'!D7</f>
        <v>0</v>
      </c>
      <c r="E21" s="48"/>
    </row>
    <row r="22" spans="1:5" ht="15" customHeight="1">
      <c r="A22" s="47" t="s">
        <v>43</v>
      </c>
      <c r="B22" s="7" t="s">
        <v>359</v>
      </c>
      <c r="C22" s="8">
        <f>+'1.b. Felh. bev. és kiad.'!C8</f>
        <v>118723</v>
      </c>
      <c r="D22" s="8">
        <f>+'1.b. Felh. bev. és kiad.'!D8</f>
        <v>107998</v>
      </c>
      <c r="E22" s="48">
        <f t="shared" si="0"/>
        <v>0.91</v>
      </c>
    </row>
    <row r="23" spans="1:5" ht="15" customHeight="1">
      <c r="A23" s="47" t="s">
        <v>45</v>
      </c>
      <c r="B23" s="7" t="s">
        <v>521</v>
      </c>
      <c r="C23" s="8">
        <f>+'1.b. Felh. bev. és kiad.'!C9</f>
        <v>5000</v>
      </c>
      <c r="D23" s="8">
        <f>+'1.b. Felh. bev. és kiad.'!D9</f>
        <v>5000</v>
      </c>
      <c r="E23" s="48">
        <f t="shared" si="0"/>
        <v>1</v>
      </c>
    </row>
    <row r="24" spans="1:5" s="87" customFormat="1" ht="15" customHeight="1">
      <c r="A24" s="46" t="s">
        <v>157</v>
      </c>
      <c r="B24" s="3" t="s">
        <v>225</v>
      </c>
      <c r="C24" s="6">
        <f>SUM(C25:C28)</f>
        <v>1266233</v>
      </c>
      <c r="D24" s="6">
        <f>SUM(D25:D28)</f>
        <v>1499408</v>
      </c>
      <c r="E24" s="45">
        <f t="shared" si="0"/>
        <v>1.184</v>
      </c>
    </row>
    <row r="25" spans="1:5" ht="15" customHeight="1">
      <c r="A25" s="47" t="s">
        <v>177</v>
      </c>
      <c r="B25" s="7" t="s">
        <v>230</v>
      </c>
      <c r="C25" s="8">
        <f>+'1. a. mell.Műk. bev. és kiad.'!C28+'1. a. mell.Műk. bev. és kiad.'!C29</f>
        <v>922233</v>
      </c>
      <c r="D25" s="8">
        <f>+'1. a. mell.Műk. bev. és kiad.'!D28+'1. a. mell.Műk. bev. és kiad.'!D29</f>
        <v>770502</v>
      </c>
      <c r="E25" s="48">
        <f t="shared" si="0"/>
        <v>0.835</v>
      </c>
    </row>
    <row r="26" spans="1:5" ht="15" customHeight="1">
      <c r="A26" s="47" t="s">
        <v>178</v>
      </c>
      <c r="B26" s="7" t="s">
        <v>176</v>
      </c>
      <c r="C26" s="8">
        <f>+'1. a. mell.Műk. bev. és kiad.'!C30</f>
        <v>260000</v>
      </c>
      <c r="D26" s="8">
        <f>+'1. a. mell.Műk. bev. és kiad.'!D30</f>
        <v>258000</v>
      </c>
      <c r="E26" s="48">
        <f t="shared" si="0"/>
        <v>0.992</v>
      </c>
    </row>
    <row r="27" spans="1:5" ht="15" customHeight="1">
      <c r="A27" s="47" t="s">
        <v>179</v>
      </c>
      <c r="B27" s="7" t="s">
        <v>158</v>
      </c>
      <c r="C27" s="8">
        <f>+'1.b. Felh. bev. és kiad.'!C14+'1.b. Felh. bev. és kiad.'!C15</f>
        <v>84000</v>
      </c>
      <c r="D27" s="8">
        <f>+'1.b. Felh. bev. és kiad.'!D14+'1.b. Felh. bev. és kiad.'!D15</f>
        <v>470906</v>
      </c>
      <c r="E27" s="48">
        <f t="shared" si="0"/>
        <v>5.606</v>
      </c>
    </row>
    <row r="28" spans="1:5" ht="15" customHeight="1">
      <c r="A28" s="47" t="s">
        <v>180</v>
      </c>
      <c r="B28" s="7" t="s">
        <v>176</v>
      </c>
      <c r="C28" s="8">
        <f>+'1.b. Felh. bev. és kiad.'!C16</f>
        <v>0</v>
      </c>
      <c r="D28" s="8">
        <f>+'1.b. Felh. bev. és kiad.'!D16</f>
        <v>0</v>
      </c>
      <c r="E28" s="48"/>
    </row>
    <row r="29" spans="1:5" s="87" customFormat="1" ht="15" customHeight="1">
      <c r="A29" s="46" t="s">
        <v>224</v>
      </c>
      <c r="B29" s="3" t="s">
        <v>160</v>
      </c>
      <c r="C29" s="6">
        <f>SUM(C30:C31)</f>
        <v>0</v>
      </c>
      <c r="D29" s="6">
        <f>SUM(D30:D31)</f>
        <v>300</v>
      </c>
      <c r="E29" s="48"/>
    </row>
    <row r="30" spans="1:5" ht="15" customHeight="1">
      <c r="A30" s="47" t="s">
        <v>38</v>
      </c>
      <c r="B30" s="7" t="s">
        <v>109</v>
      </c>
      <c r="C30" s="8">
        <f>+'1. a. mell.Műk. bev. és kiad.'!C31</f>
        <v>0</v>
      </c>
      <c r="D30" s="8">
        <f>+'1. a. mell.Műk. bev. és kiad.'!D31</f>
        <v>0</v>
      </c>
      <c r="E30" s="48"/>
    </row>
    <row r="31" spans="1:5" ht="15" customHeight="1">
      <c r="A31" s="47" t="s">
        <v>43</v>
      </c>
      <c r="B31" s="7" t="s">
        <v>110</v>
      </c>
      <c r="C31" s="8">
        <f>+'1.b. Felh. bev. és kiad.'!C17</f>
        <v>0</v>
      </c>
      <c r="D31" s="8">
        <f>+'1.b. Felh. bev. és kiad.'!D17</f>
        <v>300</v>
      </c>
      <c r="E31" s="48"/>
    </row>
    <row r="32" spans="1:5" s="87" customFormat="1" ht="15" customHeight="1">
      <c r="A32" s="685" t="s">
        <v>112</v>
      </c>
      <c r="B32" s="687" t="s">
        <v>240</v>
      </c>
      <c r="C32" s="689">
        <f>+'1. a. mell.Műk. bev. és kiad.'!C34+'1.b. Felh. bev. és kiad.'!C24</f>
        <v>13000</v>
      </c>
      <c r="D32" s="689">
        <f>+'1. a. mell.Műk. bev. és kiad.'!D34+'1.b. Felh. bev. és kiad.'!D24</f>
        <v>16500</v>
      </c>
      <c r="E32" s="683">
        <f>+D32/C32</f>
        <v>1.269</v>
      </c>
    </row>
    <row r="33" spans="1:5" s="87" customFormat="1" ht="15" customHeight="1">
      <c r="A33" s="686"/>
      <c r="B33" s="688"/>
      <c r="C33" s="690"/>
      <c r="D33" s="690"/>
      <c r="E33" s="684"/>
    </row>
    <row r="34" spans="1:5" s="87" customFormat="1" ht="15" customHeight="1">
      <c r="A34" s="46" t="s">
        <v>117</v>
      </c>
      <c r="B34" s="151" t="s">
        <v>113</v>
      </c>
      <c r="C34" s="6">
        <f>SUM(C35:C37)</f>
        <v>12869</v>
      </c>
      <c r="D34" s="6">
        <f>SUM(D35:D37)</f>
        <v>0</v>
      </c>
      <c r="E34" s="45">
        <f>+D34/C34</f>
        <v>0</v>
      </c>
    </row>
    <row r="35" spans="1:5" ht="15" customHeight="1">
      <c r="A35" s="47" t="s">
        <v>38</v>
      </c>
      <c r="B35" s="9" t="s">
        <v>114</v>
      </c>
      <c r="C35" s="8">
        <f>+'1. a. mell.Műk. bev. és kiad.'!C36+'1.b. Felh. bev. és kiad.'!C21</f>
        <v>12869</v>
      </c>
      <c r="D35" s="8">
        <f>+'1. a. mell.Műk. bev. és kiad.'!D36+'1.b. Felh. bev. és kiad.'!D21</f>
        <v>0</v>
      </c>
      <c r="E35" s="48">
        <f>+D35/C35</f>
        <v>0</v>
      </c>
    </row>
    <row r="36" spans="1:5" ht="15" customHeight="1">
      <c r="A36" s="47" t="s">
        <v>43</v>
      </c>
      <c r="B36" s="9" t="s">
        <v>115</v>
      </c>
      <c r="C36" s="8">
        <f>+'1. a. mell.Műk. bev. és kiad.'!C37+'1.b. Felh. bev. és kiad.'!C22</f>
        <v>0</v>
      </c>
      <c r="D36" s="8">
        <f>+'1. a. mell.Műk. bev. és kiad.'!D37+'1.b. Felh. bev. és kiad.'!D22</f>
        <v>0</v>
      </c>
      <c r="E36" s="48"/>
    </row>
    <row r="37" spans="1:5" ht="15" customHeight="1">
      <c r="A37" s="47" t="s">
        <v>45</v>
      </c>
      <c r="B37" s="9" t="s">
        <v>161</v>
      </c>
      <c r="C37" s="8">
        <f>+'1. a. mell.Műk. bev. és kiad.'!C38+'1.b. Felh. bev. és kiad.'!C23</f>
        <v>0</v>
      </c>
      <c r="D37" s="8">
        <f>+'1. a. mell.Műk. bev. és kiad.'!D38+'1.b. Felh. bev. és kiad.'!D23</f>
        <v>0</v>
      </c>
      <c r="E37" s="48"/>
    </row>
    <row r="38" spans="1:5" s="87" customFormat="1" ht="15" customHeight="1">
      <c r="A38" s="46"/>
      <c r="B38" s="19" t="s">
        <v>116</v>
      </c>
      <c r="C38" s="6">
        <f>+C34+C32+C29+C24+C20+C15+C9+C8+C7</f>
        <v>16554592</v>
      </c>
      <c r="D38" s="6">
        <f>+D34+D32+D29+D24+D20+D15+D9+D8+D7</f>
        <v>16540769</v>
      </c>
      <c r="E38" s="45">
        <f>+D38/C38</f>
        <v>0.999</v>
      </c>
    </row>
    <row r="39" spans="1:5" s="87" customFormat="1" ht="15" customHeight="1">
      <c r="A39" s="46" t="s">
        <v>122</v>
      </c>
      <c r="B39" s="19" t="s">
        <v>354</v>
      </c>
      <c r="C39" s="6">
        <f>SUM(C40:C43)</f>
        <v>0</v>
      </c>
      <c r="D39" s="6">
        <f>SUM(D40:D43)</f>
        <v>0</v>
      </c>
      <c r="E39" s="45"/>
    </row>
    <row r="40" spans="1:5" ht="15" customHeight="1">
      <c r="A40" s="47" t="s">
        <v>38</v>
      </c>
      <c r="B40" s="7" t="s">
        <v>120</v>
      </c>
      <c r="C40" s="8"/>
      <c r="D40" s="8"/>
      <c r="E40" s="48"/>
    </row>
    <row r="41" spans="1:5" ht="15" customHeight="1">
      <c r="A41" s="47" t="s">
        <v>43</v>
      </c>
      <c r="B41" s="7" t="s">
        <v>226</v>
      </c>
      <c r="C41" s="8"/>
      <c r="D41" s="8"/>
      <c r="E41" s="48"/>
    </row>
    <row r="42" spans="1:5" ht="15" customHeight="1">
      <c r="A42" s="47" t="s">
        <v>93</v>
      </c>
      <c r="B42" s="7" t="s">
        <v>360</v>
      </c>
      <c r="C42" s="8"/>
      <c r="D42" s="8"/>
      <c r="E42" s="48"/>
    </row>
    <row r="43" spans="1:5" ht="15" customHeight="1">
      <c r="A43" s="47" t="s">
        <v>47</v>
      </c>
      <c r="B43" s="20" t="s">
        <v>123</v>
      </c>
      <c r="C43" s="8"/>
      <c r="D43" s="8"/>
      <c r="E43" s="48"/>
    </row>
    <row r="44" spans="1:5" s="87" customFormat="1" ht="15" customHeight="1">
      <c r="A44" s="152"/>
      <c r="B44" s="3" t="s">
        <v>366</v>
      </c>
      <c r="C44" s="157">
        <f>SUM(C38,C39)</f>
        <v>16554592</v>
      </c>
      <c r="D44" s="157">
        <f>SUM(D38,D39)</f>
        <v>16540769</v>
      </c>
      <c r="E44" s="45">
        <f>+D44/C44</f>
        <v>0.999</v>
      </c>
    </row>
    <row r="45" spans="1:5" ht="15" customHeight="1" thickBot="1">
      <c r="A45" s="55"/>
      <c r="B45" s="56"/>
      <c r="C45" s="158"/>
      <c r="D45" s="158"/>
      <c r="E45" s="57"/>
    </row>
    <row r="46" spans="1:5" ht="15" customHeight="1">
      <c r="A46" s="52"/>
      <c r="B46" s="53" t="s">
        <v>124</v>
      </c>
      <c r="C46" s="159"/>
      <c r="D46" s="159"/>
      <c r="E46" s="54"/>
    </row>
    <row r="47" spans="1:5" ht="24.75" customHeight="1">
      <c r="A47" s="49" t="s">
        <v>38</v>
      </c>
      <c r="B47" s="17" t="s">
        <v>348</v>
      </c>
      <c r="C47" s="8">
        <f>+'1. a. mell.Műk. bev. és kiad.'!C46</f>
        <v>8694191</v>
      </c>
      <c r="D47" s="8">
        <f>+'1. a. mell.Műk. bev. és kiad.'!D46</f>
        <v>11204358</v>
      </c>
      <c r="E47" s="48">
        <f>+D47/C47</f>
        <v>1.289</v>
      </c>
    </row>
    <row r="48" spans="1:5" ht="41.25" customHeight="1">
      <c r="A48" s="49" t="s">
        <v>43</v>
      </c>
      <c r="B48" s="7" t="s">
        <v>361</v>
      </c>
      <c r="C48" s="8">
        <f>+'1. a. mell.Műk. bev. és kiad.'!C47</f>
        <v>4832211</v>
      </c>
      <c r="D48" s="8">
        <f>+'1. a. mell.Műk. bev. és kiad.'!D47</f>
        <v>1621542</v>
      </c>
      <c r="E48" s="48">
        <f aca="true" t="shared" si="1" ref="E48:E63">+D48/C48</f>
        <v>0.336</v>
      </c>
    </row>
    <row r="49" spans="1:5" ht="15" customHeight="1">
      <c r="A49" s="49" t="s">
        <v>45</v>
      </c>
      <c r="B49" s="7" t="s">
        <v>125</v>
      </c>
      <c r="C49" s="8">
        <f>+'1. a. mell.Műk. bev. és kiad.'!C49</f>
        <v>845050</v>
      </c>
      <c r="D49" s="8">
        <f>+'1. a. mell.Műk. bev. és kiad.'!D49</f>
        <v>930550</v>
      </c>
      <c r="E49" s="48">
        <f t="shared" si="1"/>
        <v>1.101</v>
      </c>
    </row>
    <row r="50" spans="1:5" ht="15" customHeight="1">
      <c r="A50" s="49" t="s">
        <v>47</v>
      </c>
      <c r="B50" s="7" t="s">
        <v>126</v>
      </c>
      <c r="C50" s="8"/>
      <c r="D50" s="8"/>
      <c r="E50" s="48"/>
    </row>
    <row r="51" spans="1:5" ht="15" customHeight="1">
      <c r="A51" s="49" t="s">
        <v>36</v>
      </c>
      <c r="B51" s="7" t="s">
        <v>191</v>
      </c>
      <c r="C51" s="8">
        <f>+'1. a. mell.Műk. bev. és kiad.'!C48+'1.b. Felh. bev. és kiad.'!C35</f>
        <v>484749</v>
      </c>
      <c r="D51" s="8">
        <f>+'1. a. mell.Műk. bev. és kiad.'!D48+'1.b. Felh. bev. és kiad.'!D35</f>
        <v>812050</v>
      </c>
      <c r="E51" s="48">
        <f t="shared" si="1"/>
        <v>1.675</v>
      </c>
    </row>
    <row r="52" spans="1:5" ht="15" customHeight="1">
      <c r="A52" s="49" t="s">
        <v>50</v>
      </c>
      <c r="B52" s="14" t="s">
        <v>231</v>
      </c>
      <c r="C52" s="8">
        <f>+'1.b. Felh. bev. és kiad.'!C32</f>
        <v>249400</v>
      </c>
      <c r="D52" s="8">
        <f>+'1.b. Felh. bev. és kiad.'!D32</f>
        <v>165783</v>
      </c>
      <c r="E52" s="48">
        <f t="shared" si="1"/>
        <v>0.665</v>
      </c>
    </row>
    <row r="53" spans="1:5" ht="15" customHeight="1">
      <c r="A53" s="49" t="s">
        <v>52</v>
      </c>
      <c r="B53" s="14" t="s">
        <v>463</v>
      </c>
      <c r="C53" s="8">
        <f>+'1.b. Felh. bev. és kiad.'!C33</f>
        <v>465939</v>
      </c>
      <c r="D53" s="8">
        <f>+'1.b. Felh. bev. és kiad.'!D33</f>
        <v>846771</v>
      </c>
      <c r="E53" s="48">
        <f t="shared" si="1"/>
        <v>1.817</v>
      </c>
    </row>
    <row r="54" spans="1:5" ht="15" customHeight="1">
      <c r="A54" s="49" t="s">
        <v>54</v>
      </c>
      <c r="B54" s="2" t="s">
        <v>127</v>
      </c>
      <c r="C54" s="8">
        <f>+'1. a. mell.Műk. bev. és kiad.'!C51+'1.b. Felh. bev. és kiad.'!C34</f>
        <v>970052</v>
      </c>
      <c r="D54" s="8">
        <f>+'1. a. mell.Műk. bev. és kiad.'!D51+'1.b. Felh. bev. és kiad.'!D34</f>
        <v>943215</v>
      </c>
      <c r="E54" s="48">
        <f t="shared" si="1"/>
        <v>0.972</v>
      </c>
    </row>
    <row r="55" spans="1:5" ht="15" customHeight="1">
      <c r="A55" s="49" t="s">
        <v>55</v>
      </c>
      <c r="B55" s="2" t="s">
        <v>522</v>
      </c>
      <c r="C55" s="8">
        <f>'1.b. Felh. bev. és kiad.'!C36</f>
        <v>13000</v>
      </c>
      <c r="D55" s="8">
        <f>'1.b. Felh. bev. és kiad.'!D36</f>
        <v>16500</v>
      </c>
      <c r="E55" s="48">
        <f t="shared" si="1"/>
        <v>1.269</v>
      </c>
    </row>
    <row r="56" spans="1:5" s="87" customFormat="1" ht="15" customHeight="1">
      <c r="A56" s="50" t="s">
        <v>91</v>
      </c>
      <c r="B56" s="15" t="s">
        <v>128</v>
      </c>
      <c r="C56" s="6">
        <f>SUM(C47:C55)</f>
        <v>16554592</v>
      </c>
      <c r="D56" s="6">
        <f>SUM(D47:D55)</f>
        <v>16540769</v>
      </c>
      <c r="E56" s="45">
        <f t="shared" si="1"/>
        <v>0.999</v>
      </c>
    </row>
    <row r="57" spans="1:5" s="87" customFormat="1" ht="15" customHeight="1">
      <c r="A57" s="50" t="s">
        <v>97</v>
      </c>
      <c r="B57" s="19" t="s">
        <v>354</v>
      </c>
      <c r="C57" s="6">
        <f>SUM(C58:C62)</f>
        <v>0</v>
      </c>
      <c r="D57" s="6">
        <f>SUM(D58:D62)</f>
        <v>0</v>
      </c>
      <c r="E57" s="48"/>
    </row>
    <row r="58" spans="1:5" s="87" customFormat="1" ht="15" customHeight="1">
      <c r="A58" s="47" t="s">
        <v>38</v>
      </c>
      <c r="B58" s="7" t="s">
        <v>363</v>
      </c>
      <c r="C58" s="8">
        <f>'1. a. mell.Műk. bev. és kiad.'!C54</f>
        <v>0</v>
      </c>
      <c r="D58" s="8">
        <f>'1. a. mell.Műk. bev. és kiad.'!D54</f>
        <v>0</v>
      </c>
      <c r="E58" s="45"/>
    </row>
    <row r="59" spans="1:5" s="87" customFormat="1" ht="15" customHeight="1">
      <c r="A59" s="47" t="s">
        <v>43</v>
      </c>
      <c r="B59" s="7" t="s">
        <v>353</v>
      </c>
      <c r="C59" s="8">
        <f>'1. a. mell.Műk. bev. és kiad.'!C55</f>
        <v>0</v>
      </c>
      <c r="D59" s="8">
        <f>'1. a. mell.Műk. bev. és kiad.'!D55</f>
        <v>0</v>
      </c>
      <c r="E59" s="45"/>
    </row>
    <row r="60" spans="1:5" s="87" customFormat="1" ht="15" customHeight="1">
      <c r="A60" s="47" t="s">
        <v>93</v>
      </c>
      <c r="B60" s="7" t="s">
        <v>364</v>
      </c>
      <c r="C60" s="8">
        <f>'1.b. Felh. bev. és kiad.'!C39</f>
        <v>0</v>
      </c>
      <c r="D60" s="8">
        <f>'1.b. Felh. bev. és kiad.'!D39</f>
        <v>0</v>
      </c>
      <c r="E60" s="45"/>
    </row>
    <row r="61" spans="1:5" ht="15" customHeight="1">
      <c r="A61" s="47" t="s">
        <v>47</v>
      </c>
      <c r="B61" s="20" t="s">
        <v>365</v>
      </c>
      <c r="C61" s="8">
        <f>'1.b. Felh. bev. és kiad.'!C40</f>
        <v>0</v>
      </c>
      <c r="D61" s="8">
        <f>'1.b. Felh. bev. és kiad.'!D40</f>
        <v>0</v>
      </c>
      <c r="E61" s="48"/>
    </row>
    <row r="62" spans="1:5" ht="15" customHeight="1">
      <c r="A62" s="49" t="s">
        <v>36</v>
      </c>
      <c r="B62" s="2" t="s">
        <v>216</v>
      </c>
      <c r="C62" s="8">
        <f>'1.b. Felh. bev. és kiad.'!C41</f>
        <v>0</v>
      </c>
      <c r="D62" s="8">
        <f>+'1.b. Felh. bev. és kiad.'!D41</f>
        <v>0</v>
      </c>
      <c r="E62" s="48"/>
    </row>
    <row r="63" spans="1:5" s="87" customFormat="1" ht="15" customHeight="1" thickBot="1">
      <c r="A63" s="50"/>
      <c r="B63" s="3" t="s">
        <v>367</v>
      </c>
      <c r="C63" s="6">
        <f>C56+C57</f>
        <v>16554592</v>
      </c>
      <c r="D63" s="6">
        <f>D56+D57</f>
        <v>16540769</v>
      </c>
      <c r="E63" s="45">
        <f t="shared" si="1"/>
        <v>0.999</v>
      </c>
    </row>
    <row r="64" spans="1:5" ht="12.75">
      <c r="A64" s="153" t="s">
        <v>131</v>
      </c>
      <c r="B64" s="154"/>
      <c r="C64" s="114"/>
      <c r="D64" s="114"/>
      <c r="E64" s="51"/>
    </row>
    <row r="65" spans="1:5" s="87" customFormat="1" ht="13.5" thickBot="1">
      <c r="A65" s="50"/>
      <c r="B65" s="155" t="s">
        <v>227</v>
      </c>
      <c r="C65" s="6">
        <f>'2. mell. Önálló int. összesen'!X15</f>
        <v>7177221</v>
      </c>
      <c r="D65" s="6">
        <f>'2. mell. Önálló int. összesen'!Y15</f>
        <v>9592565</v>
      </c>
      <c r="E65" s="45">
        <f>+D65/C65</f>
        <v>1.337</v>
      </c>
    </row>
    <row r="66" spans="1:5" ht="13.5" thickBot="1">
      <c r="A66" s="272"/>
      <c r="B66" s="495" t="s">
        <v>223</v>
      </c>
      <c r="C66" s="274">
        <f>+C44-C63</f>
        <v>0</v>
      </c>
      <c r="D66" s="274">
        <f>+D44-D63</f>
        <v>0</v>
      </c>
      <c r="E66" s="496"/>
    </row>
    <row r="68" spans="3:5" ht="12.75">
      <c r="C68" s="79"/>
      <c r="D68" s="79"/>
      <c r="E68" s="79"/>
    </row>
    <row r="69" spans="3:9" ht="12.75">
      <c r="C69" s="79"/>
      <c r="D69" s="79"/>
      <c r="I69" s="1" t="s">
        <v>301</v>
      </c>
    </row>
    <row r="70" spans="3:5" ht="12.75">
      <c r="C70" s="79"/>
      <c r="D70" s="79"/>
      <c r="E70" s="79"/>
    </row>
    <row r="71" spans="3:5" ht="12.75">
      <c r="C71" s="79"/>
      <c r="D71" s="79"/>
      <c r="E71" s="79"/>
    </row>
    <row r="73" ht="12.75">
      <c r="E73" s="79"/>
    </row>
    <row r="74" spans="3:4" ht="12.75">
      <c r="C74" s="79"/>
      <c r="D74" s="79"/>
    </row>
  </sheetData>
  <sheetProtection/>
  <mergeCells count="10">
    <mergeCell ref="E32:E33"/>
    <mergeCell ref="A32:A33"/>
    <mergeCell ref="B32:B33"/>
    <mergeCell ref="C32:C33"/>
    <mergeCell ref="D32:D33"/>
    <mergeCell ref="E2:E3"/>
    <mergeCell ref="C2:C3"/>
    <mergeCell ref="D2:D3"/>
    <mergeCell ref="A2:A3"/>
    <mergeCell ref="B2:B3"/>
  </mergeCells>
  <printOptions horizontalCentered="1" verticalCentered="1"/>
  <pageMargins left="0.7874015748031497" right="0.7874015748031497" top="1.4173228346456694" bottom="0.984251968503937" header="0.7874015748031497" footer="0.5118110236220472"/>
  <pageSetup horizontalDpi="300" verticalDpi="300" orientation="portrait" paperSize="9" scale="85" r:id="rId1"/>
  <headerFooter alignWithMargins="0">
    <oddHeader>&amp;C&amp;"Times New Roman,Félkövér"&amp;12A  9/2012. (II. 24.) önkormányzati rendelethez
 a Budapest Főváros IV. kerület Újpest Önkormányzat bevételeinek és kiadásainak mérlegéről&amp;R
&amp;"Times New Roman,Normál"1. sz. melléklet</oddHeader>
    <oddFooter>&amp;C&amp;"Times New Roman,Normál"&amp;P</oddFooter>
  </headerFooter>
  <rowBreaks count="1" manualBreakCount="1">
    <brk id="4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7.57421875" style="0" customWidth="1"/>
    <col min="3" max="4" width="12.57421875" style="0" customWidth="1"/>
    <col min="5" max="5" width="9.8515625" style="0" customWidth="1"/>
  </cols>
  <sheetData>
    <row r="1" spans="1:5" s="484" customFormat="1" ht="29.25" thickBot="1">
      <c r="A1" s="485" t="s">
        <v>87</v>
      </c>
      <c r="B1" s="307" t="s">
        <v>88</v>
      </c>
      <c r="C1" s="307" t="s">
        <v>316</v>
      </c>
      <c r="D1" s="486" t="s">
        <v>317</v>
      </c>
      <c r="E1" s="487" t="s">
        <v>35</v>
      </c>
    </row>
    <row r="2" spans="1:5" ht="15" thickBot="1">
      <c r="A2" s="485" t="s">
        <v>38</v>
      </c>
      <c r="B2" s="493" t="s">
        <v>43</v>
      </c>
      <c r="C2" s="493" t="s">
        <v>45</v>
      </c>
      <c r="D2" s="493" t="s">
        <v>47</v>
      </c>
      <c r="E2" s="494" t="s">
        <v>36</v>
      </c>
    </row>
    <row r="3" spans="1:5" ht="15">
      <c r="A3" s="488"/>
      <c r="B3" s="489" t="s">
        <v>212</v>
      </c>
      <c r="C3" s="490"/>
      <c r="D3" s="491"/>
      <c r="E3" s="492"/>
    </row>
    <row r="4" spans="1:5" ht="15">
      <c r="A4" s="250"/>
      <c r="B4" s="251" t="s">
        <v>386</v>
      </c>
      <c r="C4" s="302">
        <v>90000</v>
      </c>
      <c r="D4" s="471">
        <f>9450+35000</f>
        <v>44450</v>
      </c>
      <c r="E4" s="304">
        <f aca="true" t="shared" si="0" ref="E4:E9">D4/C4</f>
        <v>0.494</v>
      </c>
    </row>
    <row r="5" spans="1:5" ht="14.25">
      <c r="A5" s="252" t="s">
        <v>38</v>
      </c>
      <c r="B5" s="253" t="s">
        <v>307</v>
      </c>
      <c r="C5" s="301">
        <f>SUM(C4)</f>
        <v>90000</v>
      </c>
      <c r="D5" s="301">
        <f>SUM(D4)</f>
        <v>44450</v>
      </c>
      <c r="E5" s="303">
        <f t="shared" si="0"/>
        <v>0.494</v>
      </c>
    </row>
    <row r="6" spans="1:5" ht="15">
      <c r="A6" s="254"/>
      <c r="B6" s="251" t="s">
        <v>308</v>
      </c>
      <c r="C6" s="302">
        <v>32027</v>
      </c>
      <c r="D6" s="471"/>
      <c r="E6" s="304">
        <f t="shared" si="0"/>
        <v>0</v>
      </c>
    </row>
    <row r="7" spans="1:5" ht="15">
      <c r="A7" s="254"/>
      <c r="B7" s="251" t="s">
        <v>387</v>
      </c>
      <c r="C7" s="302">
        <v>100000</v>
      </c>
      <c r="D7" s="471">
        <v>107998</v>
      </c>
      <c r="E7" s="304">
        <f t="shared" si="0"/>
        <v>1.08</v>
      </c>
    </row>
    <row r="8" spans="1:5" ht="28.5">
      <c r="A8" s="252" t="s">
        <v>43</v>
      </c>
      <c r="B8" s="255" t="s">
        <v>547</v>
      </c>
      <c r="C8" s="301">
        <f>SUM(C6:C7)</f>
        <v>132027</v>
      </c>
      <c r="D8" s="301">
        <f>SUM(D6:D7)</f>
        <v>107998</v>
      </c>
      <c r="E8" s="303">
        <f t="shared" si="0"/>
        <v>0.818</v>
      </c>
    </row>
    <row r="9" spans="1:5" ht="15" thickBot="1">
      <c r="A9" s="256"/>
      <c r="B9" s="257" t="s">
        <v>527</v>
      </c>
      <c r="C9" s="305">
        <f>SUM(C8,C5)</f>
        <v>222027</v>
      </c>
      <c r="D9" s="305">
        <f>+D5+D8</f>
        <v>152448</v>
      </c>
      <c r="E9" s="306">
        <f t="shared" si="0"/>
        <v>0.687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&amp;C&amp;"Times New Roman,Félkövér"A  9/2012. (II. 24.) önk. rend.-hez a Bp.Főv.IV.ker. Újpest Önkormányzat költségvetésében megjelenő felújítási kiadásokról&amp;R&amp;"Times New Roman,Normál"
3.b. melléklet
eFt-ban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10.00390625" style="0" customWidth="1"/>
    <col min="2" max="2" width="42.140625" style="0" customWidth="1"/>
    <col min="3" max="3" width="13.00390625" style="0" customWidth="1"/>
    <col min="4" max="4" width="12.8515625" style="0" customWidth="1"/>
    <col min="5" max="5" width="16.57421875" style="0" customWidth="1"/>
  </cols>
  <sheetData>
    <row r="1" spans="1:5" ht="29.25" thickBot="1">
      <c r="A1" s="485" t="s">
        <v>87</v>
      </c>
      <c r="B1" s="307" t="s">
        <v>88</v>
      </c>
      <c r="C1" s="307" t="s">
        <v>316</v>
      </c>
      <c r="D1" s="570" t="s">
        <v>317</v>
      </c>
      <c r="E1" s="308" t="s">
        <v>35</v>
      </c>
    </row>
    <row r="2" spans="1:5" ht="15" thickBot="1">
      <c r="A2" s="574" t="s">
        <v>38</v>
      </c>
      <c r="B2" s="575" t="s">
        <v>43</v>
      </c>
      <c r="C2" s="575" t="s">
        <v>45</v>
      </c>
      <c r="D2" s="576" t="s">
        <v>47</v>
      </c>
      <c r="E2" s="577" t="s">
        <v>36</v>
      </c>
    </row>
    <row r="3" spans="1:5" s="42" customFormat="1" ht="15">
      <c r="A3" s="488"/>
      <c r="B3" s="489" t="s">
        <v>484</v>
      </c>
      <c r="C3" s="490"/>
      <c r="D3" s="571"/>
      <c r="E3" s="572"/>
    </row>
    <row r="4" spans="1:5" s="42" customFormat="1" ht="15">
      <c r="A4" s="254"/>
      <c r="B4" s="251" t="s">
        <v>34</v>
      </c>
      <c r="C4" s="302"/>
      <c r="D4" s="545"/>
      <c r="E4" s="304"/>
    </row>
    <row r="5" spans="1:5" s="42" customFormat="1" ht="15">
      <c r="A5" s="254"/>
      <c r="B5" s="251" t="s">
        <v>486</v>
      </c>
      <c r="C5" s="302"/>
      <c r="D5" s="545">
        <v>10160</v>
      </c>
      <c r="E5" s="304"/>
    </row>
    <row r="6" spans="1:5" s="42" customFormat="1" ht="15">
      <c r="A6" s="254"/>
      <c r="B6" s="251" t="s">
        <v>487</v>
      </c>
      <c r="C6" s="302"/>
      <c r="D6" s="545">
        <v>13843</v>
      </c>
      <c r="E6" s="304"/>
    </row>
    <row r="7" spans="1:5" s="42" customFormat="1" ht="15">
      <c r="A7" s="254"/>
      <c r="B7" s="251" t="s">
        <v>488</v>
      </c>
      <c r="C7" s="302"/>
      <c r="D7" s="545">
        <v>6350</v>
      </c>
      <c r="E7" s="304"/>
    </row>
    <row r="8" spans="1:5" s="42" customFormat="1" ht="15">
      <c r="A8" s="254"/>
      <c r="B8" s="251" t="s">
        <v>489</v>
      </c>
      <c r="C8" s="302"/>
      <c r="D8" s="545">
        <v>635</v>
      </c>
      <c r="E8" s="304"/>
    </row>
    <row r="9" spans="1:5" s="42" customFormat="1" ht="15">
      <c r="A9" s="254"/>
      <c r="B9" s="251" t="s">
        <v>490</v>
      </c>
      <c r="C9" s="302"/>
      <c r="D9" s="545">
        <v>6350</v>
      </c>
      <c r="E9" s="304"/>
    </row>
    <row r="10" spans="1:5" s="42" customFormat="1" ht="15">
      <c r="A10" s="254"/>
      <c r="B10" s="251" t="s">
        <v>491</v>
      </c>
      <c r="C10" s="302"/>
      <c r="D10" s="545">
        <v>508</v>
      </c>
      <c r="E10" s="304"/>
    </row>
    <row r="11" spans="1:5" s="559" customFormat="1" ht="15">
      <c r="A11" s="565" t="s">
        <v>89</v>
      </c>
      <c r="B11" s="549" t="s">
        <v>492</v>
      </c>
      <c r="C11" s="550"/>
      <c r="D11" s="551">
        <f>SUM(D5:D10)</f>
        <v>37846</v>
      </c>
      <c r="E11" s="566"/>
    </row>
    <row r="12" spans="1:5" ht="30">
      <c r="A12" s="565" t="s">
        <v>43</v>
      </c>
      <c r="B12" s="557" t="s">
        <v>526</v>
      </c>
      <c r="C12" s="550"/>
      <c r="D12" s="551"/>
      <c r="E12" s="566"/>
    </row>
    <row r="13" spans="1:5" ht="15">
      <c r="A13" s="254"/>
      <c r="B13" s="251" t="s">
        <v>476</v>
      </c>
      <c r="C13" s="302"/>
      <c r="D13" s="545"/>
      <c r="E13" s="304"/>
    </row>
    <row r="14" spans="1:5" ht="30">
      <c r="A14" s="254"/>
      <c r="B14" s="260" t="s">
        <v>493</v>
      </c>
      <c r="C14" s="302"/>
      <c r="D14" s="545">
        <v>25000</v>
      </c>
      <c r="E14" s="304"/>
    </row>
    <row r="15" spans="1:5" ht="30">
      <c r="A15" s="254"/>
      <c r="B15" s="260" t="s">
        <v>494</v>
      </c>
      <c r="C15" s="302"/>
      <c r="D15" s="545">
        <v>142</v>
      </c>
      <c r="E15" s="304"/>
    </row>
    <row r="16" spans="1:5" ht="15" customHeight="1">
      <c r="A16" s="565" t="s">
        <v>45</v>
      </c>
      <c r="B16" s="549" t="s">
        <v>319</v>
      </c>
      <c r="C16" s="551">
        <v>25000</v>
      </c>
      <c r="D16" s="551">
        <f>SUM(D13:D15)</f>
        <v>25142</v>
      </c>
      <c r="E16" s="566">
        <f>D16/C16</f>
        <v>1.006</v>
      </c>
    </row>
    <row r="17" spans="1:5" s="42" customFormat="1" ht="15">
      <c r="A17" s="565" t="s">
        <v>47</v>
      </c>
      <c r="B17" s="549" t="s">
        <v>582</v>
      </c>
      <c r="C17" s="549"/>
      <c r="D17" s="551"/>
      <c r="E17" s="567"/>
    </row>
    <row r="18" spans="1:5" s="42" customFormat="1" ht="15">
      <c r="A18" s="565" t="s">
        <v>479</v>
      </c>
      <c r="B18" s="549" t="s">
        <v>480</v>
      </c>
      <c r="C18" s="549"/>
      <c r="D18" s="551"/>
      <c r="E18" s="567"/>
    </row>
    <row r="19" spans="1:5" ht="15" customHeight="1">
      <c r="A19" s="565" t="s">
        <v>50</v>
      </c>
      <c r="B19" s="553" t="s">
        <v>483</v>
      </c>
      <c r="C19" s="554"/>
      <c r="D19" s="554"/>
      <c r="E19" s="567"/>
    </row>
    <row r="20" spans="1:5" ht="15">
      <c r="A20" s="565" t="s">
        <v>52</v>
      </c>
      <c r="B20" s="555" t="s">
        <v>481</v>
      </c>
      <c r="C20" s="556"/>
      <c r="D20" s="556"/>
      <c r="E20" s="567"/>
    </row>
    <row r="21" spans="1:5" ht="15" thickBot="1">
      <c r="A21" s="256"/>
      <c r="B21" s="568" t="s">
        <v>485</v>
      </c>
      <c r="C21" s="569">
        <f>SUM(C11,C12,C16,C17,C18,C19,C20)</f>
        <v>25000</v>
      </c>
      <c r="D21" s="569">
        <f>SUM(D11,D12,D16,D17,D18,D19,D20)</f>
        <v>62988</v>
      </c>
      <c r="E21" s="306">
        <f>D21/C21</f>
        <v>2.52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&amp;C&amp;"Times New Roman,Félkövér"A  9/2012. (II. 24.) önko. rendelethez a Budapest Főv. IV. ker. Újpest Önkormányzat intézményei  költségvetésében megjelenő beruházási kiadásokról&amp;R&amp;"Times New Roman,Normál"
4. a. melléklet
eFt-ban</oddHeader>
    <oddFooter>&amp;C&amp;"Times New Roman,Normál"&amp;P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10.00390625" style="0" customWidth="1"/>
    <col min="2" max="2" width="42.140625" style="0" customWidth="1"/>
    <col min="3" max="3" width="13.00390625" style="0" customWidth="1"/>
    <col min="4" max="4" width="12.8515625" style="0" customWidth="1"/>
    <col min="5" max="5" width="16.57421875" style="0" customWidth="1"/>
  </cols>
  <sheetData>
    <row r="1" spans="1:5" ht="29.25" thickBot="1">
      <c r="A1" s="258" t="s">
        <v>87</v>
      </c>
      <c r="B1" s="259" t="s">
        <v>172</v>
      </c>
      <c r="C1" s="307" t="s">
        <v>316</v>
      </c>
      <c r="D1" s="307" t="s">
        <v>317</v>
      </c>
      <c r="E1" s="308" t="s">
        <v>35</v>
      </c>
    </row>
    <row r="2" spans="1:5" ht="15" thickBot="1">
      <c r="A2" s="579" t="s">
        <v>38</v>
      </c>
      <c r="B2" s="580" t="s">
        <v>43</v>
      </c>
      <c r="C2" s="580" t="s">
        <v>45</v>
      </c>
      <c r="D2" s="580" t="s">
        <v>47</v>
      </c>
      <c r="E2" s="581" t="s">
        <v>36</v>
      </c>
    </row>
    <row r="3" spans="1:5" ht="15">
      <c r="A3" s="578"/>
      <c r="B3" s="732" t="s">
        <v>463</v>
      </c>
      <c r="C3" s="733"/>
      <c r="D3" s="733"/>
      <c r="E3" s="734"/>
    </row>
    <row r="4" spans="1:5" ht="15">
      <c r="A4" s="254"/>
      <c r="B4" s="251" t="s">
        <v>173</v>
      </c>
      <c r="C4" s="302">
        <v>37500</v>
      </c>
      <c r="D4" s="302">
        <v>25400</v>
      </c>
      <c r="E4" s="304">
        <f>D4/C4</f>
        <v>0.677</v>
      </c>
    </row>
    <row r="5" spans="1:5" ht="15">
      <c r="A5" s="254"/>
      <c r="B5" s="251" t="s">
        <v>388</v>
      </c>
      <c r="C5" s="302">
        <v>20000</v>
      </c>
      <c r="D5" s="302">
        <f>9450+35000</f>
        <v>44450</v>
      </c>
      <c r="E5" s="304">
        <f>D5/C5</f>
        <v>2.223</v>
      </c>
    </row>
    <row r="6" spans="1:5" ht="15" customHeight="1">
      <c r="A6" s="252" t="s">
        <v>38</v>
      </c>
      <c r="B6" s="253" t="s">
        <v>307</v>
      </c>
      <c r="C6" s="301">
        <f>SUM(C4:C5)</f>
        <v>57500</v>
      </c>
      <c r="D6" s="301">
        <f>SUM(D4:D5)</f>
        <v>69850</v>
      </c>
      <c r="E6" s="303">
        <f>D6/C6</f>
        <v>1.215</v>
      </c>
    </row>
    <row r="7" spans="1:5" s="42" customFormat="1" ht="15">
      <c r="A7" s="254"/>
      <c r="B7" s="251" t="s">
        <v>465</v>
      </c>
      <c r="C7" s="302">
        <v>6250</v>
      </c>
      <c r="D7" s="302">
        <f>540+2000</f>
        <v>2540</v>
      </c>
      <c r="E7" s="304">
        <f aca="true" t="shared" si="0" ref="E7:E36">D7/C7</f>
        <v>0.406</v>
      </c>
    </row>
    <row r="8" spans="1:5" ht="30" customHeight="1">
      <c r="A8" s="252" t="s">
        <v>43</v>
      </c>
      <c r="B8" s="255" t="s">
        <v>389</v>
      </c>
      <c r="C8" s="301">
        <f>SUM(C7)</f>
        <v>6250</v>
      </c>
      <c r="D8" s="301">
        <f>SUM(D7)</f>
        <v>2540</v>
      </c>
      <c r="E8" s="303">
        <f t="shared" si="0"/>
        <v>0.406</v>
      </c>
    </row>
    <row r="9" spans="1:5" s="42" customFormat="1" ht="15">
      <c r="A9" s="254"/>
      <c r="B9" s="260" t="s">
        <v>390</v>
      </c>
      <c r="C9" s="302">
        <v>31250</v>
      </c>
      <c r="D9" s="302">
        <f>13500+50000</f>
        <v>63500</v>
      </c>
      <c r="E9" s="304">
        <f t="shared" si="0"/>
        <v>2.032</v>
      </c>
    </row>
    <row r="10" spans="1:5" ht="14.25">
      <c r="A10" s="252" t="s">
        <v>45</v>
      </c>
      <c r="B10" s="255" t="s">
        <v>391</v>
      </c>
      <c r="C10" s="301">
        <f>SUM(C9)</f>
        <v>31250</v>
      </c>
      <c r="D10" s="301">
        <f>SUM(D9)</f>
        <v>63500</v>
      </c>
      <c r="E10" s="303">
        <f t="shared" si="0"/>
        <v>2.032</v>
      </c>
    </row>
    <row r="11" spans="1:5" s="42" customFormat="1" ht="15">
      <c r="A11" s="254"/>
      <c r="B11" s="251" t="s">
        <v>392</v>
      </c>
      <c r="C11" s="302">
        <v>77049</v>
      </c>
      <c r="D11" s="302">
        <v>162560</v>
      </c>
      <c r="E11" s="304">
        <f t="shared" si="0"/>
        <v>2.11</v>
      </c>
    </row>
    <row r="12" spans="1:5" ht="14.25">
      <c r="A12" s="252" t="s">
        <v>47</v>
      </c>
      <c r="B12" s="253" t="s">
        <v>310</v>
      </c>
      <c r="C12" s="301">
        <f>SUM(C11)</f>
        <v>77049</v>
      </c>
      <c r="D12" s="301">
        <f>SUM(D11)</f>
        <v>162560</v>
      </c>
      <c r="E12" s="303">
        <f t="shared" si="0"/>
        <v>2.11</v>
      </c>
    </row>
    <row r="13" spans="1:5" s="42" customFormat="1" ht="15">
      <c r="A13" s="254"/>
      <c r="B13" s="251" t="s">
        <v>393</v>
      </c>
      <c r="C13" s="302">
        <v>18400</v>
      </c>
      <c r="D13" s="302"/>
      <c r="E13" s="304">
        <f t="shared" si="0"/>
        <v>0</v>
      </c>
    </row>
    <row r="14" spans="1:5" s="42" customFormat="1" ht="15">
      <c r="A14" s="254"/>
      <c r="B14" s="251" t="s">
        <v>394</v>
      </c>
      <c r="C14" s="302">
        <v>5650</v>
      </c>
      <c r="D14" s="302"/>
      <c r="E14" s="304">
        <f t="shared" si="0"/>
        <v>0</v>
      </c>
    </row>
    <row r="15" spans="1:5" s="42" customFormat="1" ht="15">
      <c r="A15" s="254"/>
      <c r="B15" s="251" t="s">
        <v>395</v>
      </c>
      <c r="C15" s="302">
        <v>7050</v>
      </c>
      <c r="D15" s="302"/>
      <c r="E15" s="304">
        <f t="shared" si="0"/>
        <v>0</v>
      </c>
    </row>
    <row r="16" spans="1:5" s="42" customFormat="1" ht="15">
      <c r="A16" s="254"/>
      <c r="B16" s="251" t="s">
        <v>396</v>
      </c>
      <c r="C16" s="302">
        <v>10600</v>
      </c>
      <c r="D16" s="302"/>
      <c r="E16" s="304">
        <f t="shared" si="0"/>
        <v>0</v>
      </c>
    </row>
    <row r="17" spans="1:5" ht="15">
      <c r="A17" s="254"/>
      <c r="B17" s="251" t="s">
        <v>311</v>
      </c>
      <c r="C17" s="302">
        <v>4000</v>
      </c>
      <c r="D17" s="302"/>
      <c r="E17" s="304">
        <f t="shared" si="0"/>
        <v>0</v>
      </c>
    </row>
    <row r="18" spans="1:5" ht="15">
      <c r="A18" s="254"/>
      <c r="B18" s="251" t="s">
        <v>296</v>
      </c>
      <c r="C18" s="302">
        <v>500</v>
      </c>
      <c r="D18" s="302"/>
      <c r="E18" s="304">
        <f t="shared" si="0"/>
        <v>0</v>
      </c>
    </row>
    <row r="19" spans="1:5" ht="15">
      <c r="A19" s="254"/>
      <c r="B19" s="251" t="s">
        <v>243</v>
      </c>
      <c r="C19" s="302">
        <v>1500</v>
      </c>
      <c r="D19" s="302"/>
      <c r="E19" s="304">
        <f t="shared" si="0"/>
        <v>0</v>
      </c>
    </row>
    <row r="20" spans="1:5" ht="30">
      <c r="A20" s="254"/>
      <c r="B20" s="260" t="s">
        <v>397</v>
      </c>
      <c r="C20" s="302">
        <v>25350</v>
      </c>
      <c r="D20" s="302"/>
      <c r="E20" s="304">
        <f t="shared" si="0"/>
        <v>0</v>
      </c>
    </row>
    <row r="21" spans="1:5" ht="43.5" customHeight="1">
      <c r="A21" s="252" t="s">
        <v>36</v>
      </c>
      <c r="B21" s="255" t="s">
        <v>309</v>
      </c>
      <c r="C21" s="301">
        <f>SUM(C13:C20)</f>
        <v>73050</v>
      </c>
      <c r="D21" s="301">
        <f>SUM(D13:D20)</f>
        <v>0</v>
      </c>
      <c r="E21" s="303">
        <f t="shared" si="0"/>
        <v>0</v>
      </c>
    </row>
    <row r="22" spans="1:5" ht="15" customHeight="1">
      <c r="A22" s="250"/>
      <c r="B22" s="251" t="s">
        <v>1</v>
      </c>
      <c r="C22" s="302">
        <v>590</v>
      </c>
      <c r="D22" s="302"/>
      <c r="E22" s="304">
        <f t="shared" si="0"/>
        <v>0</v>
      </c>
    </row>
    <row r="23" spans="1:5" ht="28.5" customHeight="1">
      <c r="A23" s="252" t="s">
        <v>50</v>
      </c>
      <c r="B23" s="255" t="s">
        <v>2</v>
      </c>
      <c r="C23" s="301">
        <f>SUM(C22)</f>
        <v>590</v>
      </c>
      <c r="D23" s="301">
        <f>SUM(D22)</f>
        <v>0</v>
      </c>
      <c r="E23" s="303">
        <f t="shared" si="0"/>
        <v>0</v>
      </c>
    </row>
    <row r="24" spans="1:5" s="42" customFormat="1" ht="13.5" customHeight="1">
      <c r="A24" s="254"/>
      <c r="B24" s="260" t="s">
        <v>297</v>
      </c>
      <c r="C24" s="302">
        <v>15000</v>
      </c>
      <c r="D24" s="302">
        <f>1350+5000</f>
        <v>6350</v>
      </c>
      <c r="E24" s="304">
        <f t="shared" si="0"/>
        <v>0.423</v>
      </c>
    </row>
    <row r="25" spans="1:5" ht="17.25" customHeight="1" thickBot="1">
      <c r="A25" s="256" t="s">
        <v>52</v>
      </c>
      <c r="B25" s="309" t="s">
        <v>398</v>
      </c>
      <c r="C25" s="305">
        <f>SUM(C24)</f>
        <v>15000</v>
      </c>
      <c r="D25" s="305">
        <f>SUM(D24)</f>
        <v>6350</v>
      </c>
      <c r="E25" s="306">
        <f t="shared" si="0"/>
        <v>0.423</v>
      </c>
    </row>
    <row r="26" spans="1:5" ht="15">
      <c r="A26" s="310"/>
      <c r="B26" s="311" t="s">
        <v>399</v>
      </c>
      <c r="C26" s="312">
        <v>50000</v>
      </c>
      <c r="D26" s="312">
        <v>25400</v>
      </c>
      <c r="E26" s="313">
        <f t="shared" si="0"/>
        <v>0.508</v>
      </c>
    </row>
    <row r="27" spans="1:5" ht="15">
      <c r="A27" s="250"/>
      <c r="B27" s="251" t="s">
        <v>0</v>
      </c>
      <c r="C27" s="302">
        <v>38750</v>
      </c>
      <c r="D27" s="302">
        <v>12700</v>
      </c>
      <c r="E27" s="304">
        <f t="shared" si="0"/>
        <v>0.328</v>
      </c>
    </row>
    <row r="28" spans="1:5" ht="15">
      <c r="A28" s="250"/>
      <c r="B28" s="251" t="s">
        <v>448</v>
      </c>
      <c r="C28" s="302"/>
      <c r="D28" s="302">
        <f>4000+1080</f>
        <v>5080</v>
      </c>
      <c r="E28" s="483"/>
    </row>
    <row r="29" spans="1:5" ht="15">
      <c r="A29" s="250"/>
      <c r="B29" s="251" t="s">
        <v>474</v>
      </c>
      <c r="C29" s="302"/>
      <c r="D29" s="302">
        <v>3810</v>
      </c>
      <c r="E29" s="483"/>
    </row>
    <row r="30" spans="1:5" ht="30">
      <c r="A30" s="250"/>
      <c r="B30" s="260" t="s">
        <v>312</v>
      </c>
      <c r="C30" s="302">
        <v>60500</v>
      </c>
      <c r="D30" s="302">
        <f>8100+30000+10000+2700+2540</f>
        <v>53340</v>
      </c>
      <c r="E30" s="304">
        <f t="shared" si="0"/>
        <v>0.882</v>
      </c>
    </row>
    <row r="31" spans="1:5" ht="30">
      <c r="A31" s="250"/>
      <c r="B31" s="260" t="s">
        <v>447</v>
      </c>
      <c r="C31" s="302">
        <v>6000</v>
      </c>
      <c r="D31" s="302">
        <v>0</v>
      </c>
      <c r="E31" s="304">
        <f t="shared" si="0"/>
        <v>0</v>
      </c>
    </row>
    <row r="32" spans="1:5" ht="15">
      <c r="A32" s="250"/>
      <c r="B32" s="251" t="s">
        <v>313</v>
      </c>
      <c r="C32" s="302">
        <v>25000</v>
      </c>
      <c r="D32" s="302">
        <f>40000+10800</f>
        <v>50800</v>
      </c>
      <c r="E32" s="304">
        <f t="shared" si="0"/>
        <v>2.032</v>
      </c>
    </row>
    <row r="33" spans="1:5" s="42" customFormat="1" ht="29.25">
      <c r="A33" s="252" t="s">
        <v>54</v>
      </c>
      <c r="B33" s="255" t="s">
        <v>314</v>
      </c>
      <c r="C33" s="301">
        <f>SUM(C26:C32)</f>
        <v>180250</v>
      </c>
      <c r="D33" s="301">
        <f>SUM(D26:D32)</f>
        <v>151130</v>
      </c>
      <c r="E33" s="304">
        <f t="shared" si="0"/>
        <v>0.838</v>
      </c>
    </row>
    <row r="34" spans="1:5" s="42" customFormat="1" ht="15">
      <c r="A34" s="467"/>
      <c r="B34" s="470" t="s">
        <v>462</v>
      </c>
      <c r="C34" s="469"/>
      <c r="D34" s="471">
        <v>327853</v>
      </c>
      <c r="E34" s="476"/>
    </row>
    <row r="35" spans="1:5" s="42" customFormat="1" ht="15" customHeight="1">
      <c r="A35" s="467" t="s">
        <v>55</v>
      </c>
      <c r="B35" s="468" t="s">
        <v>461</v>
      </c>
      <c r="C35" s="469"/>
      <c r="D35" s="469">
        <f>+D34</f>
        <v>327853</v>
      </c>
      <c r="E35" s="476"/>
    </row>
    <row r="36" spans="1:5" ht="30" customHeight="1" thickBot="1">
      <c r="A36" s="261"/>
      <c r="B36" s="262" t="s">
        <v>453</v>
      </c>
      <c r="C36" s="305">
        <f>SUM(C6,C8,C10,C12,C21,C23,C25,C33)</f>
        <v>440939</v>
      </c>
      <c r="D36" s="305">
        <f>SUM(D6,D8,D10,D12,D21,D23,D25,D33,D35)</f>
        <v>783783</v>
      </c>
      <c r="E36" s="482">
        <f t="shared" si="0"/>
        <v>1.778</v>
      </c>
    </row>
    <row r="39" ht="12.75">
      <c r="D39" s="544"/>
    </row>
  </sheetData>
  <sheetProtection/>
  <mergeCells count="1">
    <mergeCell ref="B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&amp;C&amp;"Times New Roman,Félkövér"A 9 /2012. (II.24.) önko, rendelethez a Bp. Főv. IV. ker. Újpest Önkormányzat költségvetésében megjelenő beruházási kiadásokról&amp;R&amp;"Times New Roman,Normál"
4.b. melléklet
eFt-ban</oddHeader>
    <oddFooter>&amp;C&amp;P</oddFooter>
  </headerFooter>
  <rowBreaks count="1" manualBreakCount="1">
    <brk id="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5">
      <selection activeCell="B55" sqref="B55"/>
    </sheetView>
  </sheetViews>
  <sheetFormatPr defaultColWidth="9.140625" defaultRowHeight="12.75"/>
  <cols>
    <col min="1" max="1" width="9.140625" style="248" customWidth="1"/>
    <col min="2" max="2" width="43.8515625" style="248" customWidth="1"/>
    <col min="3" max="3" width="12.8515625" style="248" customWidth="1"/>
    <col min="4" max="16384" width="9.140625" style="248" customWidth="1"/>
  </cols>
  <sheetData>
    <row r="1" spans="1:5" ht="29.25" thickBot="1">
      <c r="A1" s="485" t="s">
        <v>87</v>
      </c>
      <c r="B1" s="307" t="s">
        <v>88</v>
      </c>
      <c r="C1" s="307" t="s">
        <v>316</v>
      </c>
      <c r="D1" s="307" t="s">
        <v>317</v>
      </c>
      <c r="E1" s="308" t="s">
        <v>35</v>
      </c>
    </row>
    <row r="2" spans="1:5" s="546" customFormat="1" ht="15" thickBot="1">
      <c r="A2" s="574" t="s">
        <v>38</v>
      </c>
      <c r="B2" s="583" t="s">
        <v>43</v>
      </c>
      <c r="C2" s="584" t="s">
        <v>45</v>
      </c>
      <c r="D2" s="584" t="s">
        <v>47</v>
      </c>
      <c r="E2" s="627" t="s">
        <v>36</v>
      </c>
    </row>
    <row r="3" spans="1:5" ht="15">
      <c r="A3" s="582" t="s">
        <v>91</v>
      </c>
      <c r="B3" s="735" t="s">
        <v>193</v>
      </c>
      <c r="C3" s="736"/>
      <c r="D3" s="736"/>
      <c r="E3" s="737"/>
    </row>
    <row r="4" spans="1:5" ht="28.5" customHeight="1">
      <c r="A4" s="250"/>
      <c r="B4" s="263" t="s">
        <v>194</v>
      </c>
      <c r="C4" s="301">
        <f>SUM(C6,C8,C10)</f>
        <v>42000</v>
      </c>
      <c r="D4" s="301">
        <f>SUM(D6,D8,D10)</f>
        <v>33000</v>
      </c>
      <c r="E4" s="303">
        <f aca="true" t="shared" si="0" ref="E4:E10">D4/C4</f>
        <v>0.786</v>
      </c>
    </row>
    <row r="5" spans="1:5" ht="15">
      <c r="A5" s="250"/>
      <c r="B5" s="251" t="s">
        <v>197</v>
      </c>
      <c r="C5" s="302">
        <v>14000</v>
      </c>
      <c r="D5" s="302">
        <v>5000</v>
      </c>
      <c r="E5" s="304">
        <f t="shared" si="0"/>
        <v>0.357</v>
      </c>
    </row>
    <row r="6" spans="1:5" ht="30" customHeight="1">
      <c r="A6" s="252" t="s">
        <v>38</v>
      </c>
      <c r="B6" s="255" t="s">
        <v>543</v>
      </c>
      <c r="C6" s="301">
        <f>SUM(C5:C5)</f>
        <v>14000</v>
      </c>
      <c r="D6" s="301">
        <f>SUM(D5:D5)</f>
        <v>5000</v>
      </c>
      <c r="E6" s="303">
        <f t="shared" si="0"/>
        <v>0.357</v>
      </c>
    </row>
    <row r="7" spans="1:5" ht="15">
      <c r="A7" s="254"/>
      <c r="B7" s="260" t="s">
        <v>3</v>
      </c>
      <c r="C7" s="302">
        <v>25000</v>
      </c>
      <c r="D7" s="302">
        <v>25000</v>
      </c>
      <c r="E7" s="304">
        <f t="shared" si="0"/>
        <v>1</v>
      </c>
    </row>
    <row r="8" spans="1:5" ht="15">
      <c r="A8" s="252" t="s">
        <v>43</v>
      </c>
      <c r="B8" s="255" t="s">
        <v>544</v>
      </c>
      <c r="C8" s="301">
        <f>SUM(C7)</f>
        <v>25000</v>
      </c>
      <c r="D8" s="301">
        <f>SUM(D7)</f>
        <v>25000</v>
      </c>
      <c r="E8" s="303">
        <f t="shared" si="0"/>
        <v>1</v>
      </c>
    </row>
    <row r="9" spans="1:5" ht="15">
      <c r="A9" s="254"/>
      <c r="B9" s="260" t="s">
        <v>255</v>
      </c>
      <c r="C9" s="302">
        <v>3000</v>
      </c>
      <c r="D9" s="302">
        <v>3000</v>
      </c>
      <c r="E9" s="304">
        <f t="shared" si="0"/>
        <v>1</v>
      </c>
    </row>
    <row r="10" spans="1:5" ht="30" customHeight="1">
      <c r="A10" s="252" t="s">
        <v>45</v>
      </c>
      <c r="B10" s="255" t="s">
        <v>545</v>
      </c>
      <c r="C10" s="301">
        <f>SUM(C9)</f>
        <v>3000</v>
      </c>
      <c r="D10" s="301">
        <f>SUM(D9)</f>
        <v>3000</v>
      </c>
      <c r="E10" s="303">
        <f t="shared" si="0"/>
        <v>1</v>
      </c>
    </row>
    <row r="11" spans="1:5" ht="15">
      <c r="A11" s="250"/>
      <c r="B11" s="251"/>
      <c r="C11" s="302"/>
      <c r="D11" s="251"/>
      <c r="E11" s="304"/>
    </row>
    <row r="12" spans="1:5" ht="30" customHeight="1">
      <c r="A12" s="250"/>
      <c r="B12" s="264" t="s">
        <v>195</v>
      </c>
      <c r="C12" s="301">
        <f>SUM(C15,C20,C22,C26,C28,C32,C36,C38,C40,C42,C45,C47)</f>
        <v>350159</v>
      </c>
      <c r="D12" s="301">
        <f>SUM(D15,D20,D22,D26,D28,D32,D36,D38,D40,D42,D45,D47,D30,D24,D17,D34)</f>
        <v>715050</v>
      </c>
      <c r="E12" s="303">
        <f aca="true" t="shared" si="1" ref="E12:E22">D12/C12</f>
        <v>2.042</v>
      </c>
    </row>
    <row r="13" spans="1:5" ht="15">
      <c r="A13" s="250"/>
      <c r="B13" s="251" t="s">
        <v>528</v>
      </c>
      <c r="C13" s="302">
        <v>144000</v>
      </c>
      <c r="D13" s="302">
        <v>150000</v>
      </c>
      <c r="E13" s="304">
        <f t="shared" si="1"/>
        <v>1.042</v>
      </c>
    </row>
    <row r="14" spans="1:5" ht="15">
      <c r="A14" s="250"/>
      <c r="B14" s="251" t="s">
        <v>299</v>
      </c>
      <c r="C14" s="302">
        <v>3200</v>
      </c>
      <c r="D14" s="302">
        <v>3450</v>
      </c>
      <c r="E14" s="304">
        <f t="shared" si="1"/>
        <v>1.078</v>
      </c>
    </row>
    <row r="15" spans="1:5" ht="15">
      <c r="A15" s="252" t="s">
        <v>38</v>
      </c>
      <c r="B15" s="253" t="s">
        <v>400</v>
      </c>
      <c r="C15" s="301">
        <f>SUM(C13:C14)</f>
        <v>147200</v>
      </c>
      <c r="D15" s="301">
        <f>SUM(D13:D14)</f>
        <v>153450</v>
      </c>
      <c r="E15" s="303">
        <f t="shared" si="1"/>
        <v>1.042</v>
      </c>
    </row>
    <row r="16" spans="1:5" ht="15">
      <c r="A16" s="254"/>
      <c r="B16" s="251" t="s">
        <v>568</v>
      </c>
      <c r="C16" s="302"/>
      <c r="D16" s="302">
        <v>365000</v>
      </c>
      <c r="E16" s="304"/>
    </row>
    <row r="17" spans="1:5" ht="30" customHeight="1">
      <c r="A17" s="252" t="s">
        <v>43</v>
      </c>
      <c r="B17" s="255" t="s">
        <v>460</v>
      </c>
      <c r="C17" s="301"/>
      <c r="D17" s="301">
        <f>SUM(D16)</f>
        <v>365000</v>
      </c>
      <c r="E17" s="303"/>
    </row>
    <row r="18" spans="1:5" ht="15">
      <c r="A18" s="250"/>
      <c r="B18" s="251" t="s">
        <v>401</v>
      </c>
      <c r="C18" s="302">
        <v>3000</v>
      </c>
      <c r="D18" s="302">
        <v>3000</v>
      </c>
      <c r="E18" s="304">
        <f t="shared" si="1"/>
        <v>1</v>
      </c>
    </row>
    <row r="19" spans="1:5" ht="15">
      <c r="A19" s="250"/>
      <c r="B19" s="251" t="s">
        <v>569</v>
      </c>
      <c r="C19" s="302">
        <v>50000</v>
      </c>
      <c r="D19" s="251"/>
      <c r="E19" s="304">
        <f t="shared" si="1"/>
        <v>0</v>
      </c>
    </row>
    <row r="20" spans="1:5" ht="30" customHeight="1">
      <c r="A20" s="252" t="s">
        <v>45</v>
      </c>
      <c r="B20" s="255" t="s">
        <v>402</v>
      </c>
      <c r="C20" s="301">
        <f>SUM(C18:C19)</f>
        <v>53000</v>
      </c>
      <c r="D20" s="301">
        <f>SUM(D18:D19)</f>
        <v>3000</v>
      </c>
      <c r="E20" s="303">
        <f t="shared" si="1"/>
        <v>0.057</v>
      </c>
    </row>
    <row r="21" spans="1:5" ht="30">
      <c r="A21" s="250"/>
      <c r="B21" s="260" t="s">
        <v>403</v>
      </c>
      <c r="C21" s="302">
        <v>23459</v>
      </c>
      <c r="D21" s="251"/>
      <c r="E21" s="304">
        <f t="shared" si="1"/>
        <v>0</v>
      </c>
    </row>
    <row r="22" spans="1:5" ht="15" customHeight="1">
      <c r="A22" s="252" t="s">
        <v>47</v>
      </c>
      <c r="B22" s="255" t="s">
        <v>404</v>
      </c>
      <c r="C22" s="301">
        <f>SUM(C21:C21)</f>
        <v>23459</v>
      </c>
      <c r="D22" s="301">
        <f>SUM(D21:D21)</f>
        <v>0</v>
      </c>
      <c r="E22" s="303">
        <f t="shared" si="1"/>
        <v>0</v>
      </c>
    </row>
    <row r="23" spans="1:5" ht="15">
      <c r="A23" s="254"/>
      <c r="B23" s="260" t="s">
        <v>443</v>
      </c>
      <c r="C23" s="302"/>
      <c r="D23" s="302">
        <v>5100</v>
      </c>
      <c r="E23" s="304"/>
    </row>
    <row r="24" spans="1:5" ht="15">
      <c r="A24" s="252" t="s">
        <v>36</v>
      </c>
      <c r="B24" s="255" t="s">
        <v>546</v>
      </c>
      <c r="C24" s="301"/>
      <c r="D24" s="301">
        <f>SUM(D23)</f>
        <v>5100</v>
      </c>
      <c r="E24" s="303"/>
    </row>
    <row r="25" spans="1:5" ht="15">
      <c r="A25" s="250"/>
      <c r="B25" s="251" t="s">
        <v>233</v>
      </c>
      <c r="C25" s="302">
        <v>4000</v>
      </c>
      <c r="D25" s="251"/>
      <c r="E25" s="304">
        <f>D25/C25</f>
        <v>0</v>
      </c>
    </row>
    <row r="26" spans="1:5" ht="29.25">
      <c r="A26" s="252" t="s">
        <v>50</v>
      </c>
      <c r="B26" s="255" t="s">
        <v>6</v>
      </c>
      <c r="C26" s="301">
        <f>SUM(C25)</f>
        <v>4000</v>
      </c>
      <c r="D26" s="301">
        <f>SUM(D25)</f>
        <v>0</v>
      </c>
      <c r="E26" s="303">
        <f>D26/C26</f>
        <v>0</v>
      </c>
    </row>
    <row r="27" spans="1:5" ht="15">
      <c r="A27" s="254"/>
      <c r="B27" s="260" t="s">
        <v>405</v>
      </c>
      <c r="C27" s="302">
        <v>3000</v>
      </c>
      <c r="D27" s="302">
        <f>3000</f>
        <v>3000</v>
      </c>
      <c r="E27" s="304">
        <f>D27/C27</f>
        <v>1</v>
      </c>
    </row>
    <row r="28" spans="1:5" ht="29.25">
      <c r="A28" s="467" t="s">
        <v>52</v>
      </c>
      <c r="B28" s="468" t="s">
        <v>406</v>
      </c>
      <c r="C28" s="469">
        <f>SUM(C27)</f>
        <v>3000</v>
      </c>
      <c r="D28" s="469">
        <f>SUM(D27)</f>
        <v>3000</v>
      </c>
      <c r="E28" s="304">
        <f>D28/C28</f>
        <v>1</v>
      </c>
    </row>
    <row r="29" spans="1:5" ht="30">
      <c r="A29" s="467"/>
      <c r="B29" s="470" t="s">
        <v>439</v>
      </c>
      <c r="C29" s="471"/>
      <c r="D29" s="471">
        <v>60000</v>
      </c>
      <c r="E29" s="304"/>
    </row>
    <row r="30" spans="1:5" ht="15">
      <c r="A30" s="467" t="s">
        <v>54</v>
      </c>
      <c r="B30" s="468" t="s">
        <v>440</v>
      </c>
      <c r="C30" s="469">
        <f>SUM(C29)</f>
        <v>0</v>
      </c>
      <c r="D30" s="469">
        <f>SUM(D29)</f>
        <v>60000</v>
      </c>
      <c r="E30" s="476"/>
    </row>
    <row r="31" spans="1:5" ht="15">
      <c r="A31" s="250"/>
      <c r="B31" s="251" t="s">
        <v>407</v>
      </c>
      <c r="C31" s="302">
        <v>7000</v>
      </c>
      <c r="D31" s="471">
        <v>7000</v>
      </c>
      <c r="E31" s="304">
        <f>D31/C31</f>
        <v>1</v>
      </c>
    </row>
    <row r="32" spans="1:5" ht="15">
      <c r="A32" s="252" t="s">
        <v>55</v>
      </c>
      <c r="B32" s="255" t="s">
        <v>408</v>
      </c>
      <c r="C32" s="301">
        <f>SUM(C31:C31)</f>
        <v>7000</v>
      </c>
      <c r="D32" s="301">
        <f>SUM(D31:D31)</f>
        <v>7000</v>
      </c>
      <c r="E32" s="303">
        <f>D32/C32</f>
        <v>1</v>
      </c>
    </row>
    <row r="33" spans="1:5" ht="15">
      <c r="A33" s="252"/>
      <c r="B33" s="260" t="s">
        <v>407</v>
      </c>
      <c r="C33" s="301"/>
      <c r="D33" s="471">
        <v>2000</v>
      </c>
      <c r="E33" s="303"/>
    </row>
    <row r="34" spans="1:5" ht="15">
      <c r="A34" s="252" t="s">
        <v>57</v>
      </c>
      <c r="B34" s="255" t="s">
        <v>473</v>
      </c>
      <c r="C34" s="301"/>
      <c r="D34" s="469">
        <f>+D33</f>
        <v>2000</v>
      </c>
      <c r="E34" s="303"/>
    </row>
    <row r="35" spans="1:5" ht="15">
      <c r="A35" s="250"/>
      <c r="B35" s="251" t="s">
        <v>236</v>
      </c>
      <c r="C35" s="302">
        <v>20000</v>
      </c>
      <c r="D35" s="471">
        <v>10000</v>
      </c>
      <c r="E35" s="304">
        <f>D35/C35</f>
        <v>0.5</v>
      </c>
    </row>
    <row r="36" spans="1:5" ht="29.25">
      <c r="A36" s="252" t="s">
        <v>59</v>
      </c>
      <c r="B36" s="255" t="s">
        <v>409</v>
      </c>
      <c r="C36" s="301">
        <f>SUM(C35)</f>
        <v>20000</v>
      </c>
      <c r="D36" s="301">
        <f>SUM(D35)</f>
        <v>10000</v>
      </c>
      <c r="E36" s="303">
        <f>D36/C36</f>
        <v>0.5</v>
      </c>
    </row>
    <row r="37" spans="1:5" ht="15">
      <c r="A37" s="250"/>
      <c r="B37" s="251" t="s">
        <v>5</v>
      </c>
      <c r="C37" s="302">
        <v>2000</v>
      </c>
      <c r="D37" s="302">
        <v>1000</v>
      </c>
      <c r="E37" s="304">
        <f>D37/C37</f>
        <v>0.5</v>
      </c>
    </row>
    <row r="38" spans="1:5" ht="29.25">
      <c r="A38" s="252" t="s">
        <v>61</v>
      </c>
      <c r="B38" s="255" t="s">
        <v>410</v>
      </c>
      <c r="C38" s="301">
        <f>SUM(C37)</f>
        <v>2000</v>
      </c>
      <c r="D38" s="301">
        <f>SUM(D37)</f>
        <v>1000</v>
      </c>
      <c r="E38" s="303">
        <f aca="true" t="shared" si="2" ref="E38:E46">D38/C38</f>
        <v>0.5</v>
      </c>
    </row>
    <row r="39" spans="1:5" ht="15">
      <c r="A39" s="252"/>
      <c r="B39" s="251" t="s">
        <v>207</v>
      </c>
      <c r="C39" s="302">
        <v>6000</v>
      </c>
      <c r="D39" s="302">
        <v>2000</v>
      </c>
      <c r="E39" s="304">
        <f t="shared" si="2"/>
        <v>0.333</v>
      </c>
    </row>
    <row r="40" spans="1:5" ht="15">
      <c r="A40" s="252" t="s">
        <v>63</v>
      </c>
      <c r="B40" s="255" t="s">
        <v>411</v>
      </c>
      <c r="C40" s="301">
        <f>SUM(C39)</f>
        <v>6000</v>
      </c>
      <c r="D40" s="301">
        <f>SUM(D39)</f>
        <v>2000</v>
      </c>
      <c r="E40" s="303">
        <f t="shared" si="2"/>
        <v>0.333</v>
      </c>
    </row>
    <row r="41" spans="1:5" ht="15">
      <c r="A41" s="250"/>
      <c r="B41" s="251" t="s">
        <v>206</v>
      </c>
      <c r="C41" s="302">
        <v>3500</v>
      </c>
      <c r="D41" s="302">
        <v>3500</v>
      </c>
      <c r="E41" s="304">
        <f t="shared" si="2"/>
        <v>1</v>
      </c>
    </row>
    <row r="42" spans="1:5" ht="15">
      <c r="A42" s="252" t="s">
        <v>64</v>
      </c>
      <c r="B42" s="255" t="s">
        <v>412</v>
      </c>
      <c r="C42" s="301">
        <f>SUM(C41:C41)</f>
        <v>3500</v>
      </c>
      <c r="D42" s="301">
        <f>SUM(D41:D41)</f>
        <v>3500</v>
      </c>
      <c r="E42" s="303">
        <f t="shared" si="2"/>
        <v>1</v>
      </c>
    </row>
    <row r="43" spans="1:5" ht="15">
      <c r="A43" s="254"/>
      <c r="B43" s="260" t="s">
        <v>472</v>
      </c>
      <c r="C43" s="302"/>
      <c r="D43" s="471">
        <v>3000</v>
      </c>
      <c r="E43" s="304"/>
    </row>
    <row r="44" spans="1:5" ht="15">
      <c r="A44" s="250"/>
      <c r="B44" s="251" t="s">
        <v>413</v>
      </c>
      <c r="C44" s="302">
        <v>63000</v>
      </c>
      <c r="D44" s="471">
        <v>97000</v>
      </c>
      <c r="E44" s="304">
        <f t="shared" si="2"/>
        <v>1.54</v>
      </c>
    </row>
    <row r="45" spans="1:5" ht="29.25">
      <c r="A45" s="252" t="s">
        <v>66</v>
      </c>
      <c r="B45" s="255" t="s">
        <v>414</v>
      </c>
      <c r="C45" s="301">
        <f>SUM(C44)</f>
        <v>63000</v>
      </c>
      <c r="D45" s="301">
        <f>SUM(D43:D44)</f>
        <v>100000</v>
      </c>
      <c r="E45" s="303">
        <f t="shared" si="2"/>
        <v>1.587</v>
      </c>
    </row>
    <row r="46" spans="1:5" ht="15">
      <c r="A46" s="254"/>
      <c r="B46" s="260" t="s">
        <v>471</v>
      </c>
      <c r="C46" s="302">
        <v>18000</v>
      </c>
      <c r="D46" s="302"/>
      <c r="E46" s="304">
        <f t="shared" si="2"/>
        <v>0</v>
      </c>
    </row>
    <row r="47" spans="1:5" ht="29.25">
      <c r="A47" s="252" t="s">
        <v>68</v>
      </c>
      <c r="B47" s="255" t="s">
        <v>4</v>
      </c>
      <c r="C47" s="301">
        <f>SUM(C46)</f>
        <v>18000</v>
      </c>
      <c r="D47" s="301"/>
      <c r="E47" s="303">
        <f>D47/C47*100</f>
        <v>0</v>
      </c>
    </row>
    <row r="48" spans="1:5" ht="19.5" customHeight="1">
      <c r="A48" s="252" t="s">
        <v>91</v>
      </c>
      <c r="B48" s="253" t="s">
        <v>199</v>
      </c>
      <c r="C48" s="301">
        <f>SUM(C4,C12)</f>
        <v>392159</v>
      </c>
      <c r="D48" s="301">
        <f>SUM(D4,D12)</f>
        <v>748050</v>
      </c>
      <c r="E48" s="303">
        <f>D48/C48</f>
        <v>1.908</v>
      </c>
    </row>
    <row r="49" spans="1:5" ht="16.5" customHeight="1">
      <c r="A49" s="252" t="s">
        <v>97</v>
      </c>
      <c r="B49" s="738" t="s">
        <v>7</v>
      </c>
      <c r="C49" s="739"/>
      <c r="D49" s="739"/>
      <c r="E49" s="740"/>
    </row>
    <row r="50" spans="1:5" ht="30" customHeight="1">
      <c r="A50" s="250"/>
      <c r="B50" s="264" t="s">
        <v>8</v>
      </c>
      <c r="C50" s="301"/>
      <c r="D50" s="301"/>
      <c r="E50" s="303"/>
    </row>
    <row r="51" spans="1:5" ht="15">
      <c r="A51" s="252"/>
      <c r="B51" s="255"/>
      <c r="C51" s="301"/>
      <c r="D51" s="251"/>
      <c r="E51" s="265"/>
    </row>
    <row r="52" spans="1:5" ht="29.25">
      <c r="A52" s="250"/>
      <c r="B52" s="264" t="s">
        <v>256</v>
      </c>
      <c r="C52" s="301">
        <f>SUM(C54,C56,C59,C61)</f>
        <v>90000</v>
      </c>
      <c r="D52" s="301">
        <f>SUM(D54,D56,D59,D61)</f>
        <v>64000</v>
      </c>
      <c r="E52" s="303">
        <f>D52/C52</f>
        <v>0.711</v>
      </c>
    </row>
    <row r="53" spans="1:5" ht="15">
      <c r="A53" s="250"/>
      <c r="B53" s="251" t="s">
        <v>208</v>
      </c>
      <c r="C53" s="302">
        <v>25000</v>
      </c>
      <c r="D53" s="471">
        <v>25000</v>
      </c>
      <c r="E53" s="304">
        <f>D53/C53</f>
        <v>1</v>
      </c>
    </row>
    <row r="54" spans="1:5" ht="29.25">
      <c r="A54" s="252" t="s">
        <v>38</v>
      </c>
      <c r="B54" s="255" t="s">
        <v>570</v>
      </c>
      <c r="C54" s="301">
        <f>SUM(C53)</f>
        <v>25000</v>
      </c>
      <c r="D54" s="301">
        <f>SUM(D53)</f>
        <v>25000</v>
      </c>
      <c r="E54" s="303">
        <f>D54/C54</f>
        <v>1</v>
      </c>
    </row>
    <row r="55" spans="1:5" ht="15">
      <c r="A55" s="250"/>
      <c r="B55" s="251" t="s">
        <v>9</v>
      </c>
      <c r="C55" s="302">
        <v>25000</v>
      </c>
      <c r="D55" s="302">
        <f>14000</f>
        <v>14000</v>
      </c>
      <c r="E55" s="304">
        <f>D55/C55</f>
        <v>0.56</v>
      </c>
    </row>
    <row r="56" spans="1:5" ht="29.25">
      <c r="A56" s="252" t="s">
        <v>43</v>
      </c>
      <c r="B56" s="255" t="s">
        <v>10</v>
      </c>
      <c r="C56" s="301">
        <f>SUM(C55)</f>
        <v>25000</v>
      </c>
      <c r="D56" s="301">
        <f>SUM(D55)</f>
        <v>14000</v>
      </c>
      <c r="E56" s="303">
        <f aca="true" t="shared" si="3" ref="E56:E64">D56/C56</f>
        <v>0.56</v>
      </c>
    </row>
    <row r="57" spans="1:5" ht="30">
      <c r="A57" s="250"/>
      <c r="B57" s="260" t="s">
        <v>239</v>
      </c>
      <c r="C57" s="302">
        <v>5000</v>
      </c>
      <c r="D57" s="251"/>
      <c r="E57" s="304">
        <f t="shared" si="3"/>
        <v>0</v>
      </c>
    </row>
    <row r="58" spans="1:5" ht="15">
      <c r="A58" s="250"/>
      <c r="B58" s="251" t="s">
        <v>244</v>
      </c>
      <c r="C58" s="302">
        <v>25000</v>
      </c>
      <c r="D58" s="302">
        <v>25000</v>
      </c>
      <c r="E58" s="304">
        <f t="shared" si="3"/>
        <v>1</v>
      </c>
    </row>
    <row r="59" spans="1:5" ht="29.25">
      <c r="A59" s="252" t="s">
        <v>45</v>
      </c>
      <c r="B59" s="255" t="s">
        <v>409</v>
      </c>
      <c r="C59" s="301">
        <f>SUM(C57:C58)</f>
        <v>30000</v>
      </c>
      <c r="D59" s="301">
        <f>SUM(D57:D58)</f>
        <v>25000</v>
      </c>
      <c r="E59" s="303">
        <f t="shared" si="3"/>
        <v>0.833</v>
      </c>
    </row>
    <row r="60" spans="1:5" ht="30">
      <c r="A60" s="254"/>
      <c r="B60" s="260" t="s">
        <v>529</v>
      </c>
      <c r="C60" s="302">
        <v>10000</v>
      </c>
      <c r="D60" s="302"/>
      <c r="E60" s="304">
        <f t="shared" si="3"/>
        <v>0</v>
      </c>
    </row>
    <row r="61" spans="1:5" ht="29.25">
      <c r="A61" s="252" t="s">
        <v>47</v>
      </c>
      <c r="B61" s="255" t="s">
        <v>415</v>
      </c>
      <c r="C61" s="301">
        <f>SUM(C60)</f>
        <v>10000</v>
      </c>
      <c r="D61" s="301">
        <f>SUM(D60)</f>
        <v>0</v>
      </c>
      <c r="E61" s="303">
        <f t="shared" si="3"/>
        <v>0</v>
      </c>
    </row>
    <row r="62" spans="1:5" ht="21" customHeight="1">
      <c r="A62" s="252" t="s">
        <v>97</v>
      </c>
      <c r="B62" s="253" t="s">
        <v>199</v>
      </c>
      <c r="C62" s="301">
        <f>SUM(C50,C52)</f>
        <v>90000</v>
      </c>
      <c r="D62" s="301">
        <f>SUM(D50,D52)</f>
        <v>64000</v>
      </c>
      <c r="E62" s="303">
        <f t="shared" si="3"/>
        <v>0.711</v>
      </c>
    </row>
    <row r="63" spans="1:5" ht="15">
      <c r="A63" s="250"/>
      <c r="B63" s="253" t="s">
        <v>196</v>
      </c>
      <c r="C63" s="301">
        <f>SUM(C48,C62)</f>
        <v>482159</v>
      </c>
      <c r="D63" s="301">
        <f>SUM(D48,D62)</f>
        <v>812050</v>
      </c>
      <c r="E63" s="303">
        <f t="shared" si="3"/>
        <v>1.684</v>
      </c>
    </row>
    <row r="64" spans="1:5" ht="29.25">
      <c r="A64" s="252" t="s">
        <v>105</v>
      </c>
      <c r="B64" s="255" t="s">
        <v>11</v>
      </c>
      <c r="C64" s="301">
        <v>2590</v>
      </c>
      <c r="D64" s="301"/>
      <c r="E64" s="303">
        <f t="shared" si="3"/>
        <v>0</v>
      </c>
    </row>
    <row r="65" spans="1:5" ht="15.75" thickBot="1">
      <c r="A65" s="261"/>
      <c r="B65" s="257" t="s">
        <v>12</v>
      </c>
      <c r="C65" s="305">
        <f>SUM(C63:C64)</f>
        <v>484749</v>
      </c>
      <c r="D65" s="305">
        <f>SUM(D63:D64)</f>
        <v>812050</v>
      </c>
      <c r="E65" s="306">
        <f>D65/C65</f>
        <v>1.675</v>
      </c>
    </row>
  </sheetData>
  <sheetProtection/>
  <mergeCells count="2">
    <mergeCell ref="B3:E3"/>
    <mergeCell ref="B49:E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Roman,Félkövér"A  9/2012. (II.24.) önko. rend.-hez a Budapest Főv.  IV.ker.  Újpest Önkormányzat költségvetésében megjelenő átadott pénzeszközökről&amp;R&amp;"Times New Roman,Normál"
5. melléklet
eFt-ban
</oddHeader>
    <oddFooter>&amp;C&amp;"Times New Roman,Normál"&amp;P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37">
      <selection activeCell="G9" sqref="G9"/>
    </sheetView>
  </sheetViews>
  <sheetFormatPr defaultColWidth="9.140625" defaultRowHeight="12.75"/>
  <cols>
    <col min="1" max="1" width="7.57421875" style="1" customWidth="1"/>
    <col min="2" max="2" width="52.28125" style="1" customWidth="1"/>
    <col min="3" max="4" width="10.140625" style="1" customWidth="1"/>
    <col min="5" max="5" width="10.00390625" style="1" customWidth="1"/>
    <col min="6" max="6" width="9.140625" style="1" customWidth="1"/>
    <col min="7" max="7" width="14.8515625" style="1" customWidth="1"/>
    <col min="8" max="8" width="11.8515625" style="149" bestFit="1" customWidth="1"/>
    <col min="9" max="9" width="10.00390625" style="1" bestFit="1" customWidth="1"/>
    <col min="10" max="16384" width="9.140625" style="1" customWidth="1"/>
  </cols>
  <sheetData>
    <row r="1" spans="1:5" ht="25.5">
      <c r="A1" s="192" t="s">
        <v>87</v>
      </c>
      <c r="B1" s="193" t="s">
        <v>88</v>
      </c>
      <c r="C1" s="194" t="s">
        <v>316</v>
      </c>
      <c r="D1" s="194" t="s">
        <v>317</v>
      </c>
      <c r="E1" s="96" t="s">
        <v>35</v>
      </c>
    </row>
    <row r="2" spans="1:5" ht="13.5" thickBot="1">
      <c r="A2" s="195" t="s">
        <v>38</v>
      </c>
      <c r="B2" s="196" t="s">
        <v>43</v>
      </c>
      <c r="C2" s="196" t="s">
        <v>45</v>
      </c>
      <c r="D2" s="196" t="s">
        <v>47</v>
      </c>
      <c r="E2" s="197" t="s">
        <v>36</v>
      </c>
    </row>
    <row r="3" spans="1:5" ht="12.75">
      <c r="A3" s="198"/>
      <c r="B3" s="37" t="s">
        <v>137</v>
      </c>
      <c r="C3" s="199"/>
      <c r="D3" s="199"/>
      <c r="E3" s="200"/>
    </row>
    <row r="4" spans="1:5" ht="15" customHeight="1">
      <c r="A4" s="47"/>
      <c r="B4" s="201" t="s">
        <v>185</v>
      </c>
      <c r="C4" s="35"/>
      <c r="D4" s="35"/>
      <c r="E4" s="95"/>
    </row>
    <row r="5" spans="1:5" ht="15" customHeight="1">
      <c r="A5" s="47" t="s">
        <v>91</v>
      </c>
      <c r="B5" s="201" t="s">
        <v>189</v>
      </c>
      <c r="C5" s="35">
        <f>SUM(C6:C29)</f>
        <v>450518</v>
      </c>
      <c r="D5" s="35">
        <f>SUM(D6:D29)</f>
        <v>452327</v>
      </c>
      <c r="E5" s="95">
        <f aca="true" t="shared" si="0" ref="E5:E15">+D5/C5</f>
        <v>1.004</v>
      </c>
    </row>
    <row r="6" spans="1:5" ht="15" customHeight="1">
      <c r="A6" s="47" t="s">
        <v>38</v>
      </c>
      <c r="B6" s="201" t="s">
        <v>251</v>
      </c>
      <c r="C6" s="202">
        <v>156155</v>
      </c>
      <c r="D6" s="202">
        <f>170000-15000-4000-10000</f>
        <v>141000</v>
      </c>
      <c r="E6" s="95">
        <f t="shared" si="0"/>
        <v>0.903</v>
      </c>
    </row>
    <row r="7" spans="1:5" ht="15" customHeight="1">
      <c r="A7" s="47" t="s">
        <v>43</v>
      </c>
      <c r="B7" s="201" t="s">
        <v>416</v>
      </c>
      <c r="C7" s="202">
        <v>100000</v>
      </c>
      <c r="D7" s="202">
        <v>30000</v>
      </c>
      <c r="E7" s="95">
        <f t="shared" si="0"/>
        <v>0.3</v>
      </c>
    </row>
    <row r="8" spans="1:10" ht="15" customHeight="1">
      <c r="A8" s="47" t="s">
        <v>45</v>
      </c>
      <c r="B8" s="201" t="s">
        <v>417</v>
      </c>
      <c r="C8" s="202">
        <v>9000</v>
      </c>
      <c r="D8" s="202">
        <v>15000</v>
      </c>
      <c r="E8" s="95">
        <f t="shared" si="0"/>
        <v>1.667</v>
      </c>
      <c r="G8" s="22"/>
      <c r="H8" s="115"/>
      <c r="I8" s="22"/>
      <c r="J8" s="22"/>
    </row>
    <row r="9" spans="1:10" ht="15" customHeight="1">
      <c r="A9" s="47" t="s">
        <v>47</v>
      </c>
      <c r="B9" s="201" t="s">
        <v>456</v>
      </c>
      <c r="C9" s="202">
        <v>2663</v>
      </c>
      <c r="D9" s="202">
        <v>6630</v>
      </c>
      <c r="E9" s="95">
        <f t="shared" si="0"/>
        <v>2.49</v>
      </c>
      <c r="G9" s="188"/>
      <c r="H9" s="189"/>
      <c r="I9" s="22"/>
      <c r="J9" s="22"/>
    </row>
    <row r="10" spans="1:10" ht="15" customHeight="1">
      <c r="A10" s="47" t="s">
        <v>36</v>
      </c>
      <c r="B10" s="201" t="s">
        <v>418</v>
      </c>
      <c r="C10" s="202">
        <v>11550</v>
      </c>
      <c r="D10" s="202">
        <v>6846</v>
      </c>
      <c r="E10" s="95">
        <f t="shared" si="0"/>
        <v>0.593</v>
      </c>
      <c r="G10" s="22"/>
      <c r="H10" s="115"/>
      <c r="I10" s="22"/>
      <c r="J10" s="22"/>
    </row>
    <row r="11" spans="1:11" ht="15" customHeight="1">
      <c r="A11" s="47" t="s">
        <v>50</v>
      </c>
      <c r="B11" s="201" t="s">
        <v>234</v>
      </c>
      <c r="C11" s="35">
        <v>5000</v>
      </c>
      <c r="D11" s="35">
        <v>5000</v>
      </c>
      <c r="E11" s="95">
        <f t="shared" si="0"/>
        <v>1</v>
      </c>
      <c r="G11" s="189"/>
      <c r="H11" s="115"/>
      <c r="I11" s="22"/>
      <c r="J11" s="22"/>
      <c r="K11" s="22"/>
    </row>
    <row r="12" spans="1:11" ht="15" customHeight="1">
      <c r="A12" s="47" t="s">
        <v>52</v>
      </c>
      <c r="B12" s="201" t="s">
        <v>235</v>
      </c>
      <c r="C12" s="35">
        <v>14000</v>
      </c>
      <c r="D12" s="35">
        <v>14000</v>
      </c>
      <c r="E12" s="95">
        <f t="shared" si="0"/>
        <v>1</v>
      </c>
      <c r="G12" s="22"/>
      <c r="H12" s="115"/>
      <c r="I12" s="22"/>
      <c r="J12" s="22"/>
      <c r="K12" s="22"/>
    </row>
    <row r="13" spans="1:11" ht="15" customHeight="1">
      <c r="A13" s="47" t="s">
        <v>54</v>
      </c>
      <c r="B13" s="201" t="s">
        <v>576</v>
      </c>
      <c r="C13" s="35"/>
      <c r="D13" s="35">
        <v>15000</v>
      </c>
      <c r="E13" s="95"/>
      <c r="G13" s="22"/>
      <c r="H13" s="115"/>
      <c r="I13" s="22"/>
      <c r="J13" s="22"/>
      <c r="K13" s="22"/>
    </row>
    <row r="14" spans="1:11" ht="15" customHeight="1">
      <c r="A14" s="47" t="s">
        <v>55</v>
      </c>
      <c r="B14" s="201" t="s">
        <v>577</v>
      </c>
      <c r="C14" s="35"/>
      <c r="D14" s="35">
        <v>4000</v>
      </c>
      <c r="E14" s="95"/>
      <c r="G14" s="22"/>
      <c r="H14" s="115"/>
      <c r="I14" s="22"/>
      <c r="J14" s="22"/>
      <c r="K14" s="22"/>
    </row>
    <row r="15" spans="1:11" ht="15" customHeight="1">
      <c r="A15" s="47" t="s">
        <v>57</v>
      </c>
      <c r="B15" s="201" t="s">
        <v>442</v>
      </c>
      <c r="C15" s="35">
        <v>12150</v>
      </c>
      <c r="D15" s="35">
        <v>15050</v>
      </c>
      <c r="E15" s="95">
        <f t="shared" si="0"/>
        <v>1.239</v>
      </c>
      <c r="G15" s="22"/>
      <c r="H15" s="115"/>
      <c r="I15" s="22"/>
      <c r="J15" s="22"/>
      <c r="K15" s="22"/>
    </row>
    <row r="16" spans="1:11" ht="15" customHeight="1">
      <c r="A16" s="47" t="s">
        <v>59</v>
      </c>
      <c r="B16" s="201" t="s">
        <v>441</v>
      </c>
      <c r="C16" s="35"/>
      <c r="D16" s="35">
        <v>19000</v>
      </c>
      <c r="E16" s="95"/>
      <c r="G16" s="22"/>
      <c r="H16" s="115"/>
      <c r="I16" s="22"/>
      <c r="J16" s="22"/>
      <c r="K16" s="22"/>
    </row>
    <row r="17" spans="1:11" ht="15" customHeight="1">
      <c r="A17" s="47" t="s">
        <v>61</v>
      </c>
      <c r="B17" s="201" t="s">
        <v>444</v>
      </c>
      <c r="C17" s="35">
        <v>10000</v>
      </c>
      <c r="D17" s="35">
        <v>10000</v>
      </c>
      <c r="E17" s="95">
        <f aca="true" t="shared" si="1" ref="E17:E32">+D17/C17</f>
        <v>1</v>
      </c>
      <c r="G17" s="188"/>
      <c r="H17" s="189"/>
      <c r="I17" s="22"/>
      <c r="J17" s="22"/>
      <c r="K17" s="22"/>
    </row>
    <row r="18" spans="1:11" ht="15" customHeight="1">
      <c r="A18" s="47" t="s">
        <v>63</v>
      </c>
      <c r="B18" s="201" t="s">
        <v>237</v>
      </c>
      <c r="C18" s="35">
        <v>2500</v>
      </c>
      <c r="D18" s="35">
        <v>2500</v>
      </c>
      <c r="E18" s="95">
        <f t="shared" si="1"/>
        <v>1</v>
      </c>
      <c r="G18" s="22"/>
      <c r="H18" s="115"/>
      <c r="I18" s="22"/>
      <c r="J18" s="22"/>
      <c r="K18" s="22"/>
    </row>
    <row r="19" spans="1:11" ht="15" customHeight="1">
      <c r="A19" s="47" t="s">
        <v>64</v>
      </c>
      <c r="B19" s="201" t="s">
        <v>238</v>
      </c>
      <c r="C19" s="35">
        <v>2500</v>
      </c>
      <c r="D19" s="35">
        <v>1500</v>
      </c>
      <c r="E19" s="95">
        <f t="shared" si="1"/>
        <v>0.6</v>
      </c>
      <c r="G19" s="22"/>
      <c r="H19" s="115"/>
      <c r="I19" s="22"/>
      <c r="J19" s="22"/>
      <c r="K19" s="22"/>
    </row>
    <row r="20" spans="1:11" ht="15" customHeight="1">
      <c r="A20" s="47" t="s">
        <v>66</v>
      </c>
      <c r="B20" s="201" t="s">
        <v>455</v>
      </c>
      <c r="C20" s="35"/>
      <c r="D20" s="35">
        <v>20000</v>
      </c>
      <c r="E20" s="95"/>
      <c r="G20" s="22"/>
      <c r="H20" s="115"/>
      <c r="I20" s="22"/>
      <c r="J20" s="22"/>
      <c r="K20" s="22"/>
    </row>
    <row r="21" spans="1:11" ht="15" customHeight="1">
      <c r="A21" s="47" t="s">
        <v>68</v>
      </c>
      <c r="B21" s="201" t="s">
        <v>252</v>
      </c>
      <c r="C21" s="35">
        <v>10000</v>
      </c>
      <c r="D21" s="35">
        <v>5000</v>
      </c>
      <c r="E21" s="95">
        <f t="shared" si="1"/>
        <v>0.5</v>
      </c>
      <c r="G21" s="22"/>
      <c r="H21" s="115"/>
      <c r="I21" s="22"/>
      <c r="J21" s="22"/>
      <c r="K21" s="22"/>
    </row>
    <row r="22" spans="1:11" ht="15" customHeight="1">
      <c r="A22" s="47" t="s">
        <v>70</v>
      </c>
      <c r="B22" s="203" t="s">
        <v>245</v>
      </c>
      <c r="C22" s="35">
        <v>58000</v>
      </c>
      <c r="D22" s="35">
        <v>83040</v>
      </c>
      <c r="E22" s="95">
        <f t="shared" si="1"/>
        <v>1.432</v>
      </c>
      <c r="G22" s="22"/>
      <c r="H22" s="115"/>
      <c r="I22" s="22"/>
      <c r="J22" s="22"/>
      <c r="K22" s="22"/>
    </row>
    <row r="23" spans="1:11" ht="15" customHeight="1">
      <c r="A23" s="47" t="s">
        <v>183</v>
      </c>
      <c r="B23" s="203" t="s">
        <v>467</v>
      </c>
      <c r="C23" s="35"/>
      <c r="D23" s="35">
        <v>13761</v>
      </c>
      <c r="E23" s="95"/>
      <c r="G23" s="22"/>
      <c r="H23" s="115"/>
      <c r="I23" s="22"/>
      <c r="J23" s="22"/>
      <c r="K23" s="22"/>
    </row>
    <row r="24" spans="1:11" ht="15" customHeight="1">
      <c r="A24" s="47" t="s">
        <v>184</v>
      </c>
      <c r="B24" s="203" t="s">
        <v>246</v>
      </c>
      <c r="C24" s="35">
        <v>2000</v>
      </c>
      <c r="D24" s="35">
        <v>1000</v>
      </c>
      <c r="E24" s="95">
        <f t="shared" si="1"/>
        <v>0.5</v>
      </c>
      <c r="G24" s="22"/>
      <c r="H24" s="115"/>
      <c r="I24" s="22"/>
      <c r="J24" s="22"/>
      <c r="K24" s="22"/>
    </row>
    <row r="25" spans="1:11" ht="15" customHeight="1">
      <c r="A25" s="47" t="s">
        <v>468</v>
      </c>
      <c r="B25" s="203" t="s">
        <v>250</v>
      </c>
      <c r="C25" s="35">
        <v>5000</v>
      </c>
      <c r="D25" s="35">
        <v>4000</v>
      </c>
      <c r="E25" s="95">
        <f t="shared" si="1"/>
        <v>0.8</v>
      </c>
      <c r="G25" s="188"/>
      <c r="H25" s="210"/>
      <c r="I25" s="22"/>
      <c r="J25" s="22"/>
      <c r="K25" s="22"/>
    </row>
    <row r="26" spans="1:11" ht="15" customHeight="1">
      <c r="A26" s="47" t="s">
        <v>469</v>
      </c>
      <c r="B26" s="203" t="s">
        <v>530</v>
      </c>
      <c r="C26" s="35">
        <v>10000</v>
      </c>
      <c r="D26" s="35">
        <v>5000</v>
      </c>
      <c r="E26" s="95">
        <f t="shared" si="1"/>
        <v>0.5</v>
      </c>
      <c r="G26" s="22"/>
      <c r="H26" s="115"/>
      <c r="I26" s="22"/>
      <c r="J26" s="22"/>
      <c r="K26" s="22"/>
    </row>
    <row r="27" spans="1:11" ht="15" customHeight="1">
      <c r="A27" s="47" t="s">
        <v>470</v>
      </c>
      <c r="B27" s="203" t="s">
        <v>298</v>
      </c>
      <c r="C27" s="35">
        <v>15000</v>
      </c>
      <c r="D27" s="35">
        <v>8000</v>
      </c>
      <c r="E27" s="95">
        <f t="shared" si="1"/>
        <v>0.533</v>
      </c>
      <c r="G27" s="188"/>
      <c r="H27" s="210"/>
      <c r="I27" s="22"/>
      <c r="J27" s="22"/>
      <c r="K27" s="22"/>
    </row>
    <row r="28" spans="1:11" ht="15" customHeight="1">
      <c r="A28" s="47" t="s">
        <v>578</v>
      </c>
      <c r="B28" s="203" t="s">
        <v>458</v>
      </c>
      <c r="C28" s="35"/>
      <c r="D28" s="35">
        <v>5000</v>
      </c>
      <c r="E28" s="95"/>
      <c r="G28" s="188"/>
      <c r="H28" s="210"/>
      <c r="I28" s="22"/>
      <c r="J28" s="22"/>
      <c r="K28" s="22"/>
    </row>
    <row r="29" spans="1:11" ht="15" customHeight="1">
      <c r="A29" s="47" t="s">
        <v>579</v>
      </c>
      <c r="B29" s="203" t="s">
        <v>249</v>
      </c>
      <c r="C29" s="35">
        <v>25000</v>
      </c>
      <c r="D29" s="35">
        <v>22000</v>
      </c>
      <c r="E29" s="95">
        <f t="shared" si="1"/>
        <v>0.88</v>
      </c>
      <c r="G29" s="22"/>
      <c r="H29" s="115"/>
      <c r="I29" s="22"/>
      <c r="J29" s="22"/>
      <c r="K29" s="22"/>
    </row>
    <row r="30" spans="1:11" ht="15" customHeight="1">
      <c r="A30" s="47" t="s">
        <v>97</v>
      </c>
      <c r="B30" s="201" t="s">
        <v>190</v>
      </c>
      <c r="C30" s="35">
        <f>SUM(C31:C32)</f>
        <v>140000</v>
      </c>
      <c r="D30" s="35">
        <f>SUM(D31:D32)</f>
        <v>0</v>
      </c>
      <c r="E30" s="95">
        <f t="shared" si="1"/>
        <v>0</v>
      </c>
      <c r="G30" s="22"/>
      <c r="H30" s="115"/>
      <c r="I30" s="22"/>
      <c r="J30" s="22"/>
      <c r="K30" s="22"/>
    </row>
    <row r="31" spans="1:12" ht="15" customHeight="1">
      <c r="A31" s="47" t="s">
        <v>38</v>
      </c>
      <c r="B31" s="201" t="s">
        <v>182</v>
      </c>
      <c r="C31" s="35">
        <v>120000</v>
      </c>
      <c r="D31" s="35"/>
      <c r="E31" s="95">
        <f t="shared" si="1"/>
        <v>0</v>
      </c>
      <c r="G31" s="22"/>
      <c r="H31" s="115"/>
      <c r="I31" s="204"/>
      <c r="J31" s="188"/>
      <c r="K31" s="205"/>
      <c r="L31" s="205"/>
    </row>
    <row r="32" spans="1:12" ht="15" customHeight="1">
      <c r="A32" s="47" t="s">
        <v>43</v>
      </c>
      <c r="B32" s="201" t="s">
        <v>253</v>
      </c>
      <c r="C32" s="35">
        <v>20000</v>
      </c>
      <c r="D32" s="35"/>
      <c r="E32" s="95">
        <f t="shared" si="1"/>
        <v>0</v>
      </c>
      <c r="G32" s="22"/>
      <c r="H32" s="115"/>
      <c r="I32" s="206"/>
      <c r="J32" s="22"/>
      <c r="K32" s="22"/>
      <c r="L32" s="22"/>
    </row>
    <row r="33" spans="1:12" ht="15" customHeight="1">
      <c r="A33" s="47" t="s">
        <v>105</v>
      </c>
      <c r="B33" s="201" t="s">
        <v>211</v>
      </c>
      <c r="C33" s="35">
        <f>SUM(C34:C44)</f>
        <v>106136</v>
      </c>
      <c r="D33" s="35">
        <f>SUM(D34:D44)</f>
        <v>109008</v>
      </c>
      <c r="E33" s="95">
        <f aca="true" t="shared" si="2" ref="E33:E44">+D33/C33</f>
        <v>1.027</v>
      </c>
      <c r="G33" s="188"/>
      <c r="H33" s="189"/>
      <c r="I33" s="189"/>
      <c r="J33" s="187"/>
      <c r="K33" s="187"/>
      <c r="L33" s="190"/>
    </row>
    <row r="34" spans="1:12" ht="15" customHeight="1">
      <c r="A34" s="47" t="s">
        <v>38</v>
      </c>
      <c r="B34" s="201" t="s">
        <v>419</v>
      </c>
      <c r="C34" s="35">
        <v>3000</v>
      </c>
      <c r="D34" s="35">
        <v>3000</v>
      </c>
      <c r="E34" s="95">
        <f>+D34/C34</f>
        <v>1</v>
      </c>
      <c r="G34" s="188"/>
      <c r="H34" s="189"/>
      <c r="I34" s="189"/>
      <c r="J34" s="187"/>
      <c r="K34" s="187"/>
      <c r="L34" s="190"/>
    </row>
    <row r="35" spans="1:12" ht="15" customHeight="1">
      <c r="A35" s="47" t="s">
        <v>43</v>
      </c>
      <c r="B35" s="201" t="s">
        <v>420</v>
      </c>
      <c r="C35" s="35">
        <v>500</v>
      </c>
      <c r="D35" s="35"/>
      <c r="E35" s="95">
        <f t="shared" si="2"/>
        <v>0</v>
      </c>
      <c r="G35" s="188"/>
      <c r="H35" s="189"/>
      <c r="I35" s="189"/>
      <c r="J35" s="187"/>
      <c r="K35" s="187"/>
      <c r="L35" s="190"/>
    </row>
    <row r="36" spans="1:12" ht="15" customHeight="1">
      <c r="A36" s="47" t="s">
        <v>45</v>
      </c>
      <c r="B36" s="201" t="s">
        <v>421</v>
      </c>
      <c r="C36" s="35">
        <v>3000</v>
      </c>
      <c r="D36" s="35">
        <v>3000</v>
      </c>
      <c r="E36" s="95">
        <f t="shared" si="2"/>
        <v>1</v>
      </c>
      <c r="G36" s="188"/>
      <c r="H36" s="189"/>
      <c r="I36" s="189"/>
      <c r="J36" s="187"/>
      <c r="K36" s="187"/>
      <c r="L36" s="190"/>
    </row>
    <row r="37" spans="1:12" ht="15" customHeight="1">
      <c r="A37" s="47" t="s">
        <v>47</v>
      </c>
      <c r="B37" s="201" t="s">
        <v>300</v>
      </c>
      <c r="C37" s="35">
        <v>3000</v>
      </c>
      <c r="D37" s="35">
        <v>3000</v>
      </c>
      <c r="E37" s="95">
        <f t="shared" si="2"/>
        <v>1</v>
      </c>
      <c r="G37" s="22"/>
      <c r="H37" s="212"/>
      <c r="I37" s="189"/>
      <c r="J37" s="187"/>
      <c r="K37" s="187"/>
      <c r="L37" s="190"/>
    </row>
    <row r="38" spans="1:12" ht="15" customHeight="1">
      <c r="A38" s="47" t="s">
        <v>36</v>
      </c>
      <c r="B38" s="201" t="s">
        <v>422</v>
      </c>
      <c r="C38" s="35">
        <v>1000</v>
      </c>
      <c r="D38" s="35">
        <f>1000</f>
        <v>1000</v>
      </c>
      <c r="E38" s="95">
        <f t="shared" si="2"/>
        <v>1</v>
      </c>
      <c r="G38" s="22"/>
      <c r="H38" s="212"/>
      <c r="I38" s="189"/>
      <c r="J38" s="187"/>
      <c r="K38" s="187"/>
      <c r="L38" s="190"/>
    </row>
    <row r="39" spans="1:12" ht="15" customHeight="1">
      <c r="A39" s="47" t="s">
        <v>50</v>
      </c>
      <c r="B39" s="201" t="s">
        <v>423</v>
      </c>
      <c r="C39" s="35">
        <v>300</v>
      </c>
      <c r="D39" s="35">
        <v>300</v>
      </c>
      <c r="E39" s="95">
        <f t="shared" si="2"/>
        <v>1</v>
      </c>
      <c r="G39" s="22"/>
      <c r="H39" s="212"/>
      <c r="I39" s="189"/>
      <c r="J39" s="187"/>
      <c r="K39" s="187"/>
      <c r="L39" s="190"/>
    </row>
    <row r="40" spans="1:12" ht="15" customHeight="1">
      <c r="A40" s="47" t="s">
        <v>52</v>
      </c>
      <c r="B40" s="201" t="s">
        <v>424</v>
      </c>
      <c r="C40" s="35">
        <v>2000</v>
      </c>
      <c r="D40" s="35"/>
      <c r="E40" s="95">
        <f t="shared" si="2"/>
        <v>0</v>
      </c>
      <c r="G40" s="22"/>
      <c r="H40" s="212"/>
      <c r="I40" s="189"/>
      <c r="J40" s="187"/>
      <c r="K40" s="187"/>
      <c r="L40" s="190"/>
    </row>
    <row r="41" spans="1:12" ht="15" customHeight="1">
      <c r="A41" s="47" t="s">
        <v>54</v>
      </c>
      <c r="B41" s="201" t="s">
        <v>425</v>
      </c>
      <c r="C41" s="35">
        <v>12000</v>
      </c>
      <c r="D41" s="35">
        <v>12000</v>
      </c>
      <c r="E41" s="95">
        <f t="shared" si="2"/>
        <v>1</v>
      </c>
      <c r="G41" s="22"/>
      <c r="H41" s="212"/>
      <c r="I41" s="189"/>
      <c r="J41" s="187"/>
      <c r="K41" s="187"/>
      <c r="L41" s="190"/>
    </row>
    <row r="42" spans="1:12" ht="15" customHeight="1">
      <c r="A42" s="47" t="s">
        <v>55</v>
      </c>
      <c r="B42" s="201" t="s">
        <v>426</v>
      </c>
      <c r="C42" s="35">
        <v>7500</v>
      </c>
      <c r="D42" s="35">
        <v>7500</v>
      </c>
      <c r="E42" s="95">
        <f t="shared" si="2"/>
        <v>1</v>
      </c>
      <c r="G42" s="22"/>
      <c r="H42" s="212"/>
      <c r="I42" s="189"/>
      <c r="J42" s="187"/>
      <c r="K42" s="187"/>
      <c r="L42" s="190"/>
    </row>
    <row r="43" spans="1:12" ht="15" customHeight="1">
      <c r="A43" s="47" t="s">
        <v>57</v>
      </c>
      <c r="B43" s="201" t="s">
        <v>427</v>
      </c>
      <c r="C43" s="35">
        <v>10000</v>
      </c>
      <c r="D43" s="35">
        <v>10000</v>
      </c>
      <c r="E43" s="95">
        <f t="shared" si="2"/>
        <v>1</v>
      </c>
      <c r="G43" s="22"/>
      <c r="H43" s="212"/>
      <c r="I43" s="189"/>
      <c r="J43" s="187"/>
      <c r="K43" s="187"/>
      <c r="L43" s="190"/>
    </row>
    <row r="44" spans="1:12" ht="15" customHeight="1">
      <c r="A44" s="47" t="s">
        <v>59</v>
      </c>
      <c r="B44" s="201" t="s">
        <v>254</v>
      </c>
      <c r="C44" s="35">
        <f>SUM(C45:C54)</f>
        <v>63836</v>
      </c>
      <c r="D44" s="35">
        <f>SUM(D45:D54)</f>
        <v>69208</v>
      </c>
      <c r="E44" s="95">
        <f t="shared" si="2"/>
        <v>1.084</v>
      </c>
      <c r="G44" s="188"/>
      <c r="H44" s="189"/>
      <c r="I44" s="189"/>
      <c r="J44" s="187"/>
      <c r="K44" s="187"/>
      <c r="L44" s="190"/>
    </row>
    <row r="45" spans="1:12" ht="15" customHeight="1">
      <c r="A45" s="47"/>
      <c r="B45" s="201" t="s">
        <v>247</v>
      </c>
      <c r="C45" s="35">
        <v>4000</v>
      </c>
      <c r="D45" s="35">
        <v>4000</v>
      </c>
      <c r="E45" s="95">
        <f aca="true" t="shared" si="3" ref="E45:E55">+D45/C45</f>
        <v>1</v>
      </c>
      <c r="H45" s="212"/>
      <c r="I45" s="189"/>
      <c r="J45" s="187"/>
      <c r="K45" s="187"/>
      <c r="L45" s="190"/>
    </row>
    <row r="46" spans="1:12" ht="15" customHeight="1">
      <c r="A46" s="47"/>
      <c r="B46" s="201" t="s">
        <v>248</v>
      </c>
      <c r="C46" s="35">
        <v>3000</v>
      </c>
      <c r="D46" s="35">
        <v>3000</v>
      </c>
      <c r="E46" s="95">
        <f t="shared" si="3"/>
        <v>1</v>
      </c>
      <c r="H46" s="212"/>
      <c r="I46" s="189"/>
      <c r="J46" s="187"/>
      <c r="K46" s="187"/>
      <c r="L46" s="190"/>
    </row>
    <row r="47" spans="1:12" ht="15" customHeight="1">
      <c r="A47" s="47"/>
      <c r="B47" s="201" t="s">
        <v>428</v>
      </c>
      <c r="C47" s="35">
        <v>5336</v>
      </c>
      <c r="D47" s="35">
        <v>2708</v>
      </c>
      <c r="E47" s="95">
        <f t="shared" si="3"/>
        <v>0.507</v>
      </c>
      <c r="H47" s="212"/>
      <c r="I47" s="189"/>
      <c r="J47" s="187"/>
      <c r="K47" s="187"/>
      <c r="L47" s="190"/>
    </row>
    <row r="48" spans="1:12" ht="15" customHeight="1">
      <c r="A48" s="47"/>
      <c r="B48" s="201" t="s">
        <v>429</v>
      </c>
      <c r="C48" s="35">
        <v>2500</v>
      </c>
      <c r="D48" s="35">
        <v>2500</v>
      </c>
      <c r="E48" s="95">
        <f t="shared" si="3"/>
        <v>1</v>
      </c>
      <c r="H48" s="212"/>
      <c r="I48" s="189"/>
      <c r="J48" s="187"/>
      <c r="K48" s="187"/>
      <c r="L48" s="190"/>
    </row>
    <row r="49" spans="1:12" ht="15" customHeight="1">
      <c r="A49" s="47"/>
      <c r="B49" s="201" t="s">
        <v>531</v>
      </c>
      <c r="C49" s="35">
        <v>14000</v>
      </c>
      <c r="D49" s="35">
        <v>14000</v>
      </c>
      <c r="E49" s="95">
        <f t="shared" si="3"/>
        <v>1</v>
      </c>
      <c r="H49" s="212"/>
      <c r="I49" s="189"/>
      <c r="J49" s="187"/>
      <c r="K49" s="187"/>
      <c r="L49" s="190"/>
    </row>
    <row r="50" spans="1:12" ht="15" customHeight="1">
      <c r="A50" s="47"/>
      <c r="B50" s="201" t="s">
        <v>430</v>
      </c>
      <c r="C50" s="35">
        <v>10000</v>
      </c>
      <c r="D50" s="35">
        <v>8000</v>
      </c>
      <c r="E50" s="95">
        <f t="shared" si="3"/>
        <v>0.8</v>
      </c>
      <c r="H50" s="212"/>
      <c r="I50" s="189"/>
      <c r="J50" s="187"/>
      <c r="K50" s="187"/>
      <c r="L50" s="190"/>
    </row>
    <row r="51" spans="1:12" ht="15" customHeight="1">
      <c r="A51" s="47"/>
      <c r="B51" s="201" t="s">
        <v>431</v>
      </c>
      <c r="C51" s="35">
        <v>5000</v>
      </c>
      <c r="D51" s="35">
        <v>14000</v>
      </c>
      <c r="E51" s="95">
        <f t="shared" si="3"/>
        <v>2.8</v>
      </c>
      <c r="H51" s="212"/>
      <c r="I51" s="189"/>
      <c r="J51" s="187"/>
      <c r="K51" s="187"/>
      <c r="L51" s="190"/>
    </row>
    <row r="52" spans="1:12" ht="15" customHeight="1">
      <c r="A52" s="47"/>
      <c r="B52" s="201" t="s">
        <v>432</v>
      </c>
      <c r="C52" s="35">
        <v>12000</v>
      </c>
      <c r="D52" s="35">
        <v>12000</v>
      </c>
      <c r="E52" s="95">
        <f t="shared" si="3"/>
        <v>1</v>
      </c>
      <c r="H52" s="212"/>
      <c r="I52" s="189"/>
      <c r="J52" s="187"/>
      <c r="K52" s="187"/>
      <c r="L52" s="190"/>
    </row>
    <row r="53" spans="1:12" ht="15" customHeight="1">
      <c r="A53" s="47"/>
      <c r="B53" s="543" t="s">
        <v>464</v>
      </c>
      <c r="C53" s="35"/>
      <c r="D53" s="35">
        <v>1000</v>
      </c>
      <c r="E53" s="95"/>
      <c r="H53" s="212"/>
      <c r="I53" s="189"/>
      <c r="J53" s="187"/>
      <c r="K53" s="187"/>
      <c r="L53" s="190"/>
    </row>
    <row r="54" spans="1:12" ht="15" customHeight="1">
      <c r="A54" s="47"/>
      <c r="B54" s="201" t="s">
        <v>433</v>
      </c>
      <c r="C54" s="35">
        <v>8000</v>
      </c>
      <c r="D54" s="35">
        <v>8000</v>
      </c>
      <c r="E54" s="95">
        <f t="shared" si="3"/>
        <v>1</v>
      </c>
      <c r="H54" s="212"/>
      <c r="I54" s="189"/>
      <c r="J54" s="187"/>
      <c r="K54" s="187"/>
      <c r="L54" s="190"/>
    </row>
    <row r="55" spans="1:12" s="87" customFormat="1" ht="15" customHeight="1" thickBot="1">
      <c r="A55" s="105"/>
      <c r="B55" s="678" t="s">
        <v>215</v>
      </c>
      <c r="C55" s="93">
        <f>C30+C5+C4+C33</f>
        <v>696654</v>
      </c>
      <c r="D55" s="93">
        <f>D30+D5+D4+D33</f>
        <v>561335</v>
      </c>
      <c r="E55" s="94">
        <f t="shared" si="3"/>
        <v>0.806</v>
      </c>
      <c r="H55" s="213"/>
      <c r="I55" s="208"/>
      <c r="J55" s="41"/>
      <c r="K55" s="41"/>
      <c r="L55" s="209"/>
    </row>
    <row r="56" spans="1:12" s="87" customFormat="1" ht="15" customHeight="1">
      <c r="A56" s="679"/>
      <c r="B56" s="680" t="s">
        <v>186</v>
      </c>
      <c r="C56" s="681"/>
      <c r="D56" s="681"/>
      <c r="E56" s="682"/>
      <c r="H56" s="212"/>
      <c r="I56" s="189"/>
      <c r="J56" s="187"/>
      <c r="K56" s="187"/>
      <c r="L56" s="190"/>
    </row>
    <row r="57" spans="1:12" ht="15" customHeight="1">
      <c r="A57" s="47" t="s">
        <v>38</v>
      </c>
      <c r="B57" s="201" t="s">
        <v>187</v>
      </c>
      <c r="C57" s="35">
        <v>212000</v>
      </c>
      <c r="D57" s="35">
        <v>220000</v>
      </c>
      <c r="E57" s="95">
        <f>+D57/C57</f>
        <v>1.038</v>
      </c>
      <c r="H57" s="212"/>
      <c r="I57" s="210"/>
      <c r="J57" s="187"/>
      <c r="K57" s="187"/>
      <c r="L57" s="190"/>
    </row>
    <row r="58" spans="1:12" ht="15" customHeight="1">
      <c r="A58" s="47" t="s">
        <v>43</v>
      </c>
      <c r="B58" s="201" t="s">
        <v>434</v>
      </c>
      <c r="C58" s="35">
        <v>10000</v>
      </c>
      <c r="D58" s="35">
        <v>20000</v>
      </c>
      <c r="E58" s="95">
        <f>+D58/C58</f>
        <v>2</v>
      </c>
      <c r="H58" s="212"/>
      <c r="I58" s="210"/>
      <c r="J58" s="187"/>
      <c r="K58" s="187"/>
      <c r="L58" s="190"/>
    </row>
    <row r="59" spans="1:12" ht="15" customHeight="1">
      <c r="A59" s="47" t="s">
        <v>45</v>
      </c>
      <c r="B59" s="201" t="s">
        <v>435</v>
      </c>
      <c r="C59" s="35">
        <v>50000</v>
      </c>
      <c r="D59" s="35">
        <v>40000</v>
      </c>
      <c r="E59" s="95">
        <f>+D59/C59</f>
        <v>0.8</v>
      </c>
      <c r="H59" s="212"/>
      <c r="I59" s="210"/>
      <c r="J59" s="187"/>
      <c r="K59" s="187"/>
      <c r="L59" s="190"/>
    </row>
    <row r="60" spans="1:12" ht="15" customHeight="1">
      <c r="A60" s="47" t="s">
        <v>47</v>
      </c>
      <c r="B60" s="201" t="s">
        <v>457</v>
      </c>
      <c r="C60" s="35"/>
      <c r="D60" s="35">
        <v>101880</v>
      </c>
      <c r="E60" s="95"/>
      <c r="H60" s="212"/>
      <c r="I60" s="210"/>
      <c r="J60" s="187"/>
      <c r="K60" s="187"/>
      <c r="L60" s="190"/>
    </row>
    <row r="61" spans="1:12" s="87" customFormat="1" ht="15" customHeight="1">
      <c r="A61" s="46" t="s">
        <v>157</v>
      </c>
      <c r="B61" s="207" t="s">
        <v>188</v>
      </c>
      <c r="C61" s="36">
        <f>SUM(C57:C59)</f>
        <v>272000</v>
      </c>
      <c r="D61" s="36">
        <f>SUM(D57:D60)</f>
        <v>381880</v>
      </c>
      <c r="E61" s="92">
        <f>+D61/C61</f>
        <v>1.404</v>
      </c>
      <c r="H61" s="213"/>
      <c r="I61" s="208"/>
      <c r="J61" s="41"/>
      <c r="K61" s="41"/>
      <c r="L61" s="209"/>
    </row>
    <row r="62" spans="1:12" s="87" customFormat="1" ht="15" customHeight="1">
      <c r="A62" s="406" t="s">
        <v>224</v>
      </c>
      <c r="B62" s="472" t="s">
        <v>436</v>
      </c>
      <c r="C62" s="473">
        <v>1398</v>
      </c>
      <c r="D62" s="473"/>
      <c r="E62" s="474"/>
      <c r="H62" s="213"/>
      <c r="I62" s="208"/>
      <c r="J62" s="41"/>
      <c r="K62" s="41"/>
      <c r="L62" s="209"/>
    </row>
    <row r="63" spans="1:12" s="87" customFormat="1" ht="15" customHeight="1" thickBot="1">
      <c r="A63" s="105"/>
      <c r="B63" s="314" t="s">
        <v>437</v>
      </c>
      <c r="C63" s="93">
        <f>+C61+C55+C62</f>
        <v>970052</v>
      </c>
      <c r="D63" s="93">
        <f>+D61+D55</f>
        <v>943215</v>
      </c>
      <c r="E63" s="94">
        <f>+D63/C63</f>
        <v>0.972</v>
      </c>
      <c r="H63" s="213"/>
      <c r="I63" s="208"/>
      <c r="J63" s="41"/>
      <c r="K63" s="41"/>
      <c r="L63" s="209"/>
    </row>
    <row r="64" spans="8:12" ht="12.75">
      <c r="H64" s="212"/>
      <c r="I64" s="189"/>
      <c r="J64" s="187"/>
      <c r="K64" s="187"/>
      <c r="L64" s="190"/>
    </row>
    <row r="65" spans="8:12" ht="12.75">
      <c r="H65" s="212"/>
      <c r="I65" s="189"/>
      <c r="J65" s="187"/>
      <c r="K65" s="187"/>
      <c r="L65" s="190"/>
    </row>
    <row r="66" spans="4:12" ht="12.75">
      <c r="D66" s="79"/>
      <c r="H66" s="212"/>
      <c r="I66" s="189"/>
      <c r="J66" s="187"/>
      <c r="K66" s="187"/>
      <c r="L66" s="190"/>
    </row>
    <row r="67" spans="8:12" ht="12.75">
      <c r="H67" s="212"/>
      <c r="I67" s="189"/>
      <c r="J67" s="187"/>
      <c r="K67" s="187"/>
      <c r="L67" s="190"/>
    </row>
    <row r="68" spans="8:12" ht="12.75">
      <c r="H68" s="212"/>
      <c r="I68" s="189"/>
      <c r="J68" s="187"/>
      <c r="K68" s="187"/>
      <c r="L68" s="190"/>
    </row>
    <row r="69" spans="8:12" ht="12.75">
      <c r="H69" s="212"/>
      <c r="I69" s="189"/>
      <c r="J69" s="187"/>
      <c r="K69" s="187"/>
      <c r="L69" s="190"/>
    </row>
    <row r="70" spans="8:12" ht="12.75">
      <c r="H70" s="212"/>
      <c r="I70" s="189"/>
      <c r="J70" s="187"/>
      <c r="K70" s="187"/>
      <c r="L70" s="190"/>
    </row>
    <row r="71" spans="8:12" ht="12.75">
      <c r="H71" s="212"/>
      <c r="I71" s="189"/>
      <c r="J71" s="187"/>
      <c r="K71" s="187"/>
      <c r="L71" s="190"/>
    </row>
    <row r="72" spans="8:12" ht="12.75">
      <c r="H72" s="212"/>
      <c r="I72" s="189"/>
      <c r="J72" s="187"/>
      <c r="K72" s="187"/>
      <c r="L72" s="190"/>
    </row>
    <row r="73" spans="8:12" ht="12.75">
      <c r="H73" s="212"/>
      <c r="I73" s="189"/>
      <c r="J73" s="187"/>
      <c r="K73" s="187"/>
      <c r="L73" s="190"/>
    </row>
    <row r="74" spans="8:12" ht="12.75">
      <c r="H74" s="213"/>
      <c r="I74" s="208"/>
      <c r="J74" s="41"/>
      <c r="K74" s="41"/>
      <c r="L74" s="190"/>
    </row>
    <row r="75" spans="8:12" ht="12.75">
      <c r="H75" s="213"/>
      <c r="I75" s="211"/>
      <c r="J75" s="41"/>
      <c r="K75" s="41"/>
      <c r="L75" s="190"/>
    </row>
    <row r="76" spans="8:12" ht="12.75">
      <c r="H76" s="212"/>
      <c r="I76" s="189"/>
      <c r="J76" s="187"/>
      <c r="K76" s="187"/>
      <c r="L76" s="190"/>
    </row>
    <row r="77" spans="8:12" ht="12.75">
      <c r="H77" s="213"/>
      <c r="I77" s="208"/>
      <c r="J77" s="41"/>
      <c r="K77" s="41"/>
      <c r="L77" s="190"/>
    </row>
    <row r="78" spans="8:12" ht="12.75">
      <c r="H78" s="212"/>
      <c r="I78" s="208"/>
      <c r="J78" s="41"/>
      <c r="K78" s="41"/>
      <c r="L78" s="190"/>
    </row>
    <row r="79" spans="8:12" ht="12.75">
      <c r="H79" s="115"/>
      <c r="I79" s="22"/>
      <c r="J79" s="22"/>
      <c r="K79" s="22"/>
      <c r="L79" s="22"/>
    </row>
  </sheetData>
  <sheetProtection/>
  <printOptions horizontalCentered="1" verticalCentered="1"/>
  <pageMargins left="0.7874015748031497" right="0.7874015748031497" top="1.299212598425197" bottom="0.984251968503937" header="0.5118110236220472" footer="0.5118110236220472"/>
  <pageSetup horizontalDpi="300" verticalDpi="300" orientation="portrait" paperSize="9" scale="78" r:id="rId1"/>
  <headerFooter alignWithMargins="0">
    <oddHeader>&amp;C&amp;"Times New Roman,Félkövér"A  9/2012. (II.24.) Önkormányzati rendelethez
 a Budapest Főváros IV. ker. Önkormányzat költségvetésében megjelenő  tartalékokról&amp;R
&amp;"Times New Roman,Normál"
6. sz. melléklet  
eFt-ban
</oddHeader>
    <oddFooter>&amp;C&amp;P</oddFooter>
  </headerFooter>
  <rowBreaks count="1" manualBreakCount="1">
    <brk id="5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60" zoomScalePageLayoutView="0" workbookViewId="0" topLeftCell="A1">
      <pane xSplit="4800" ySplit="495" topLeftCell="C11" activePane="bottomRight" state="split"/>
      <selection pane="topLeft" activeCell="A1" sqref="A1:IV16384"/>
      <selection pane="topRight" activeCell="S1" sqref="S1:S16384"/>
      <selection pane="bottomLeft" activeCell="B53" sqref="B53"/>
      <selection pane="bottomRight" activeCell="P4" sqref="P4:T68"/>
    </sheetView>
  </sheetViews>
  <sheetFormatPr defaultColWidth="9.140625" defaultRowHeight="12.75"/>
  <cols>
    <col min="1" max="1" width="9.140625" style="127" customWidth="1"/>
    <col min="2" max="2" width="63.57421875" style="127" customWidth="1"/>
    <col min="3" max="3" width="11.421875" style="127" customWidth="1"/>
    <col min="4" max="4" width="11.8515625" style="127" customWidth="1"/>
    <col min="5" max="5" width="11.421875" style="127" customWidth="1"/>
    <col min="6" max="6" width="11.28125" style="127" customWidth="1"/>
    <col min="7" max="7" width="11.421875" style="127" customWidth="1"/>
    <col min="8" max="8" width="11.7109375" style="127" customWidth="1"/>
    <col min="9" max="9" width="12.140625" style="127" customWidth="1"/>
    <col min="10" max="10" width="13.140625" style="127" customWidth="1"/>
    <col min="11" max="11" width="13.7109375" style="127" customWidth="1"/>
    <col min="12" max="12" width="11.7109375" style="127" customWidth="1"/>
    <col min="13" max="13" width="12.00390625" style="127" customWidth="1"/>
    <col min="14" max="14" width="12.421875" style="127" customWidth="1"/>
    <col min="15" max="15" width="17.140625" style="127" customWidth="1"/>
    <col min="16" max="16" width="13.28125" style="127" customWidth="1"/>
    <col min="17" max="17" width="12.00390625" style="127" bestFit="1" customWidth="1"/>
    <col min="18" max="18" width="9.140625" style="127" customWidth="1"/>
    <col min="19" max="19" width="9.140625" style="620" customWidth="1"/>
    <col min="20" max="16384" width="9.140625" style="127" customWidth="1"/>
  </cols>
  <sheetData>
    <row r="1" spans="1:19" s="592" customFormat="1" ht="27" customHeight="1" thickBot="1">
      <c r="A1" s="589" t="s">
        <v>87</v>
      </c>
      <c r="B1" s="590" t="s">
        <v>88</v>
      </c>
      <c r="C1" s="590" t="s">
        <v>20</v>
      </c>
      <c r="D1" s="590" t="s">
        <v>21</v>
      </c>
      <c r="E1" s="590" t="s">
        <v>22</v>
      </c>
      <c r="F1" s="590" t="s">
        <v>23</v>
      </c>
      <c r="G1" s="590" t="s">
        <v>24</v>
      </c>
      <c r="H1" s="590" t="s">
        <v>25</v>
      </c>
      <c r="I1" s="590" t="s">
        <v>26</v>
      </c>
      <c r="J1" s="590" t="s">
        <v>27</v>
      </c>
      <c r="K1" s="590" t="s">
        <v>28</v>
      </c>
      <c r="L1" s="590" t="s">
        <v>29</v>
      </c>
      <c r="M1" s="590" t="s">
        <v>30</v>
      </c>
      <c r="N1" s="590" t="s">
        <v>31</v>
      </c>
      <c r="O1" s="591" t="s">
        <v>198</v>
      </c>
      <c r="S1" s="619"/>
    </row>
    <row r="2" spans="1:19" s="33" customFormat="1" ht="16.5" customHeight="1">
      <c r="A2" s="593"/>
      <c r="B2" s="418" t="s">
        <v>33</v>
      </c>
      <c r="C2" s="594">
        <v>6778473</v>
      </c>
      <c r="D2" s="594">
        <f>+C61</f>
        <v>6946609</v>
      </c>
      <c r="E2" s="594">
        <f aca="true" t="shared" si="0" ref="E2:N2">+D61</f>
        <v>7114745</v>
      </c>
      <c r="F2" s="594">
        <f t="shared" si="0"/>
        <v>7282881</v>
      </c>
      <c r="G2" s="594">
        <f t="shared" si="0"/>
        <v>7756698</v>
      </c>
      <c r="H2" s="594">
        <f t="shared" si="0"/>
        <v>8230515</v>
      </c>
      <c r="I2" s="594">
        <f t="shared" si="0"/>
        <v>8704332</v>
      </c>
      <c r="J2" s="594">
        <f t="shared" si="0"/>
        <v>9178149</v>
      </c>
      <c r="K2" s="594">
        <f t="shared" si="0"/>
        <v>9651966</v>
      </c>
      <c r="L2" s="594">
        <f t="shared" si="0"/>
        <v>9821047</v>
      </c>
      <c r="M2" s="594">
        <f t="shared" si="0"/>
        <v>10294765</v>
      </c>
      <c r="N2" s="594">
        <f t="shared" si="0"/>
        <v>10768583</v>
      </c>
      <c r="O2" s="595"/>
      <c r="S2" s="620"/>
    </row>
    <row r="3" spans="1:19" s="33" customFormat="1" ht="16.5" customHeight="1">
      <c r="A3" s="530"/>
      <c r="B3" s="3" t="s">
        <v>90</v>
      </c>
      <c r="C3" s="596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597"/>
      <c r="S3" s="620"/>
    </row>
    <row r="4" spans="1:19" s="33" customFormat="1" ht="16.5" customHeight="1">
      <c r="A4" s="44" t="s">
        <v>91</v>
      </c>
      <c r="B4" s="3" t="s">
        <v>92</v>
      </c>
      <c r="C4" s="596">
        <f aca="true" t="shared" si="1" ref="C4:I4">+C5+C6+C7</f>
        <v>168136</v>
      </c>
      <c r="D4" s="596">
        <f t="shared" si="1"/>
        <v>168136</v>
      </c>
      <c r="E4" s="596">
        <f t="shared" si="1"/>
        <v>168136</v>
      </c>
      <c r="F4" s="596">
        <f t="shared" si="1"/>
        <v>473817</v>
      </c>
      <c r="G4" s="596">
        <f t="shared" si="1"/>
        <v>473817</v>
      </c>
      <c r="H4" s="596">
        <f t="shared" si="1"/>
        <v>473817</v>
      </c>
      <c r="I4" s="596">
        <f t="shared" si="1"/>
        <v>473817</v>
      </c>
      <c r="J4" s="596">
        <f>+J5+J6+J7</f>
        <v>473817</v>
      </c>
      <c r="K4" s="596">
        <f>+K5+K6+K7</f>
        <v>169081</v>
      </c>
      <c r="L4" s="596">
        <f>+L5+L6+L7</f>
        <v>473818</v>
      </c>
      <c r="M4" s="596">
        <f>+M5+M6+M7</f>
        <v>473818</v>
      </c>
      <c r="N4" s="596">
        <f>+N5+N6+N7</f>
        <v>191340</v>
      </c>
      <c r="O4" s="598">
        <f>SUM(C4:N4)</f>
        <v>4181550</v>
      </c>
      <c r="P4" s="230"/>
      <c r="S4" s="620"/>
    </row>
    <row r="5" spans="1:19" s="33" customFormat="1" ht="30" customHeight="1">
      <c r="A5" s="44" t="s">
        <v>38</v>
      </c>
      <c r="B5" s="16" t="s">
        <v>14</v>
      </c>
      <c r="C5" s="596">
        <v>119151</v>
      </c>
      <c r="D5" s="596">
        <v>119151</v>
      </c>
      <c r="E5" s="596">
        <v>119151</v>
      </c>
      <c r="F5" s="596">
        <v>119151</v>
      </c>
      <c r="G5" s="596">
        <v>119151</v>
      </c>
      <c r="H5" s="596">
        <v>119151</v>
      </c>
      <c r="I5" s="596">
        <v>119151</v>
      </c>
      <c r="J5" s="596">
        <v>119151</v>
      </c>
      <c r="K5" s="596">
        <v>119152</v>
      </c>
      <c r="L5" s="596">
        <v>119152</v>
      </c>
      <c r="M5" s="596">
        <v>119152</v>
      </c>
      <c r="N5" s="596">
        <v>119152</v>
      </c>
      <c r="O5" s="598">
        <f aca="true" t="shared" si="2" ref="O5:O11">SUM(C5:N5)</f>
        <v>1429816</v>
      </c>
      <c r="P5" s="125"/>
      <c r="S5" s="620"/>
    </row>
    <row r="6" spans="1:19" s="33" customFormat="1" ht="16.5" customHeight="1">
      <c r="A6" s="44" t="s">
        <v>43</v>
      </c>
      <c r="B6" s="3" t="s">
        <v>346</v>
      </c>
      <c r="C6" s="596">
        <v>48985</v>
      </c>
      <c r="D6" s="596">
        <v>48985</v>
      </c>
      <c r="E6" s="596">
        <v>48985</v>
      </c>
      <c r="F6" s="596">
        <v>48985</v>
      </c>
      <c r="G6" s="596">
        <v>48985</v>
      </c>
      <c r="H6" s="596">
        <v>48985</v>
      </c>
      <c r="I6" s="596">
        <v>48985</v>
      </c>
      <c r="J6" s="596">
        <v>48985</v>
      </c>
      <c r="K6" s="596">
        <v>48985</v>
      </c>
      <c r="L6" s="596">
        <v>48985</v>
      </c>
      <c r="M6" s="596">
        <v>48985</v>
      </c>
      <c r="N6" s="596">
        <v>48995</v>
      </c>
      <c r="O6" s="598">
        <f t="shared" si="2"/>
        <v>587830</v>
      </c>
      <c r="P6" s="125"/>
      <c r="S6" s="620"/>
    </row>
    <row r="7" spans="1:19" s="33" customFormat="1" ht="16.5" customHeight="1">
      <c r="A7" s="46" t="s">
        <v>93</v>
      </c>
      <c r="B7" s="3" t="s">
        <v>94</v>
      </c>
      <c r="C7" s="596">
        <f>SUM(C8:C11)</f>
        <v>0</v>
      </c>
      <c r="D7" s="596">
        <f aca="true" t="shared" si="3" ref="D7:N7">SUM(D8:D11)</f>
        <v>0</v>
      </c>
      <c r="E7" s="596">
        <f t="shared" si="3"/>
        <v>0</v>
      </c>
      <c r="F7" s="596">
        <f t="shared" si="3"/>
        <v>305681</v>
      </c>
      <c r="G7" s="596">
        <f t="shared" si="3"/>
        <v>305681</v>
      </c>
      <c r="H7" s="596">
        <f t="shared" si="3"/>
        <v>305681</v>
      </c>
      <c r="I7" s="596">
        <f t="shared" si="3"/>
        <v>305681</v>
      </c>
      <c r="J7" s="596">
        <f t="shared" si="3"/>
        <v>305681</v>
      </c>
      <c r="K7" s="596">
        <f t="shared" si="3"/>
        <v>944</v>
      </c>
      <c r="L7" s="596">
        <f t="shared" si="3"/>
        <v>305681</v>
      </c>
      <c r="M7" s="596">
        <f t="shared" si="3"/>
        <v>305681</v>
      </c>
      <c r="N7" s="596">
        <f t="shared" si="3"/>
        <v>23193</v>
      </c>
      <c r="O7" s="598">
        <f t="shared" si="2"/>
        <v>2163904</v>
      </c>
      <c r="P7" s="230"/>
      <c r="S7" s="620"/>
    </row>
    <row r="8" spans="1:19" s="33" customFormat="1" ht="16.5" customHeight="1">
      <c r="A8" s="47"/>
      <c r="B8" s="7" t="s">
        <v>282</v>
      </c>
      <c r="C8" s="599">
        <f>P8*0.012</f>
        <v>0</v>
      </c>
      <c r="D8" s="124">
        <f>P8*0.0129</f>
        <v>0</v>
      </c>
      <c r="E8" s="124">
        <f>P8*0.276</f>
        <v>0</v>
      </c>
      <c r="F8" s="124">
        <v>305681</v>
      </c>
      <c r="G8" s="124">
        <v>305681</v>
      </c>
      <c r="H8" s="124">
        <v>305681</v>
      </c>
      <c r="I8" s="124">
        <v>305681</v>
      </c>
      <c r="J8" s="124">
        <v>305681</v>
      </c>
      <c r="K8" s="124">
        <f>P8*0.279</f>
        <v>0</v>
      </c>
      <c r="L8" s="124">
        <v>305681</v>
      </c>
      <c r="M8" s="124">
        <v>305681</v>
      </c>
      <c r="N8" s="124">
        <f>P8*0.159+23197</f>
        <v>23197</v>
      </c>
      <c r="O8" s="597">
        <f t="shared" si="2"/>
        <v>2162964</v>
      </c>
      <c r="P8" s="230"/>
      <c r="Q8" s="43"/>
      <c r="S8" s="620"/>
    </row>
    <row r="9" spans="1:19" s="33" customFormat="1" ht="16.5" customHeight="1">
      <c r="A9" s="47"/>
      <c r="B9" s="9" t="s">
        <v>95</v>
      </c>
      <c r="C9" s="124">
        <f>$P$9*0.062</f>
        <v>0</v>
      </c>
      <c r="D9" s="124">
        <f>$P$9*0.062</f>
        <v>0</v>
      </c>
      <c r="E9" s="124">
        <f>P9*0.169</f>
        <v>0</v>
      </c>
      <c r="F9" s="124">
        <f>$P$9*0.062</f>
        <v>0</v>
      </c>
      <c r="G9" s="124">
        <f>$P$9*0.062</f>
        <v>0</v>
      </c>
      <c r="H9" s="124">
        <f aca="true" t="shared" si="4" ref="H9:N9">$P$9*0.062</f>
        <v>0</v>
      </c>
      <c r="I9" s="124">
        <f t="shared" si="4"/>
        <v>0</v>
      </c>
      <c r="J9" s="124">
        <f t="shared" si="4"/>
        <v>0</v>
      </c>
      <c r="K9" s="124">
        <f>P9*0.21+944</f>
        <v>944</v>
      </c>
      <c r="L9" s="124">
        <f t="shared" si="4"/>
        <v>0</v>
      </c>
      <c r="M9" s="124">
        <f t="shared" si="4"/>
        <v>0</v>
      </c>
      <c r="N9" s="124">
        <f t="shared" si="4"/>
        <v>0</v>
      </c>
      <c r="O9" s="597">
        <f t="shared" si="2"/>
        <v>944</v>
      </c>
      <c r="P9" s="230"/>
      <c r="Q9" s="43"/>
      <c r="S9" s="620"/>
    </row>
    <row r="10" spans="1:19" s="33" customFormat="1" ht="16.5" customHeight="1">
      <c r="A10" s="47"/>
      <c r="B10" s="7" t="s">
        <v>532</v>
      </c>
      <c r="C10" s="599"/>
      <c r="D10" s="124"/>
      <c r="E10" s="124">
        <f>$P$10/4</f>
        <v>0</v>
      </c>
      <c r="F10" s="124"/>
      <c r="G10" s="124">
        <f>$P$10/4</f>
        <v>0</v>
      </c>
      <c r="H10" s="124"/>
      <c r="I10" s="124"/>
      <c r="J10" s="124">
        <f>$P$10/4</f>
        <v>0</v>
      </c>
      <c r="K10" s="124"/>
      <c r="L10" s="124">
        <f>$P$10/4</f>
        <v>0</v>
      </c>
      <c r="M10" s="124"/>
      <c r="N10" s="124"/>
      <c r="O10" s="597">
        <f t="shared" si="2"/>
        <v>0</v>
      </c>
      <c r="P10" s="125"/>
      <c r="S10" s="620"/>
    </row>
    <row r="11" spans="1:19" s="33" customFormat="1" ht="16.5" customHeight="1">
      <c r="A11" s="47"/>
      <c r="B11" s="7" t="s">
        <v>511</v>
      </c>
      <c r="C11" s="599">
        <f>$P$11/12</f>
        <v>0</v>
      </c>
      <c r="D11" s="599">
        <f aca="true" t="shared" si="5" ref="D11:M11">$P$11/12</f>
        <v>0</v>
      </c>
      <c r="E11" s="599">
        <f t="shared" si="5"/>
        <v>0</v>
      </c>
      <c r="F11" s="599">
        <f t="shared" si="5"/>
        <v>0</v>
      </c>
      <c r="G11" s="599">
        <f t="shared" si="5"/>
        <v>0</v>
      </c>
      <c r="H11" s="599">
        <f t="shared" si="5"/>
        <v>0</v>
      </c>
      <c r="I11" s="599">
        <f t="shared" si="5"/>
        <v>0</v>
      </c>
      <c r="J11" s="599">
        <f t="shared" si="5"/>
        <v>0</v>
      </c>
      <c r="K11" s="599">
        <f t="shared" si="5"/>
        <v>0</v>
      </c>
      <c r="L11" s="599">
        <f t="shared" si="5"/>
        <v>0</v>
      </c>
      <c r="M11" s="599">
        <f t="shared" si="5"/>
        <v>0</v>
      </c>
      <c r="N11" s="599">
        <f>$P$11/12-4</f>
        <v>-4</v>
      </c>
      <c r="O11" s="597">
        <f t="shared" si="2"/>
        <v>-4</v>
      </c>
      <c r="P11" s="125"/>
      <c r="S11" s="620"/>
    </row>
    <row r="12" spans="1:19" s="33" customFormat="1" ht="16.5" customHeight="1">
      <c r="A12" s="46" t="s">
        <v>97</v>
      </c>
      <c r="B12" s="3" t="s">
        <v>98</v>
      </c>
      <c r="C12" s="596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597"/>
      <c r="P12" s="230"/>
      <c r="S12" s="620"/>
    </row>
    <row r="13" spans="1:19" s="33" customFormat="1" ht="16.5" customHeight="1">
      <c r="A13" s="46" t="s">
        <v>38</v>
      </c>
      <c r="B13" s="3" t="s">
        <v>99</v>
      </c>
      <c r="C13" s="596">
        <f>SUM(C14:C17)</f>
        <v>0</v>
      </c>
      <c r="D13" s="596">
        <f aca="true" t="shared" si="6" ref="D13:I13">SUM(D14:D17)</f>
        <v>0</v>
      </c>
      <c r="E13" s="596">
        <f t="shared" si="6"/>
        <v>0</v>
      </c>
      <c r="F13" s="596">
        <f t="shared" si="6"/>
        <v>0</v>
      </c>
      <c r="G13" s="596">
        <f t="shared" si="6"/>
        <v>0</v>
      </c>
      <c r="H13" s="596">
        <f t="shared" si="6"/>
        <v>0</v>
      </c>
      <c r="I13" s="596">
        <f t="shared" si="6"/>
        <v>0</v>
      </c>
      <c r="J13" s="596">
        <f>SUM(J14:J17)</f>
        <v>0</v>
      </c>
      <c r="K13" s="596">
        <f>SUM(K14:K17)</f>
        <v>0</v>
      </c>
      <c r="L13" s="596">
        <f>SUM(L14:L17)</f>
        <v>0</v>
      </c>
      <c r="M13" s="596">
        <f>SUM(M14:M17)</f>
        <v>0</v>
      </c>
      <c r="N13" s="596">
        <f>SUM(N14:N17)</f>
        <v>2675</v>
      </c>
      <c r="O13" s="601">
        <f>SUM(C13:N13)</f>
        <v>2675</v>
      </c>
      <c r="P13" s="125"/>
      <c r="S13" s="620"/>
    </row>
    <row r="14" spans="1:19" s="33" customFormat="1" ht="16.5" customHeight="1">
      <c r="A14" s="47" t="s">
        <v>100</v>
      </c>
      <c r="B14" s="7" t="s">
        <v>155</v>
      </c>
      <c r="C14" s="599">
        <f>$P$14/12</f>
        <v>0</v>
      </c>
      <c r="D14" s="599">
        <f aca="true" t="shared" si="7" ref="D14:M14">$P$14/12</f>
        <v>0</v>
      </c>
      <c r="E14" s="599">
        <f t="shared" si="7"/>
        <v>0</v>
      </c>
      <c r="F14" s="599">
        <f t="shared" si="7"/>
        <v>0</v>
      </c>
      <c r="G14" s="599">
        <f t="shared" si="7"/>
        <v>0</v>
      </c>
      <c r="H14" s="599">
        <f t="shared" si="7"/>
        <v>0</v>
      </c>
      <c r="I14" s="599">
        <f t="shared" si="7"/>
        <v>0</v>
      </c>
      <c r="J14" s="599">
        <f t="shared" si="7"/>
        <v>0</v>
      </c>
      <c r="K14" s="599">
        <f t="shared" si="7"/>
        <v>0</v>
      </c>
      <c r="L14" s="599">
        <f t="shared" si="7"/>
        <v>0</v>
      </c>
      <c r="M14" s="599">
        <f t="shared" si="7"/>
        <v>0</v>
      </c>
      <c r="N14" s="599">
        <f>$P$14/12+5</f>
        <v>5</v>
      </c>
      <c r="O14" s="597">
        <f>SUM(C14:N14)</f>
        <v>5</v>
      </c>
      <c r="P14" s="125"/>
      <c r="S14" s="620"/>
    </row>
    <row r="15" spans="1:19" s="33" customFormat="1" ht="16.5" customHeight="1">
      <c r="A15" s="47" t="s">
        <v>101</v>
      </c>
      <c r="B15" s="7" t="s">
        <v>102</v>
      </c>
      <c r="C15" s="599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597">
        <f>SUM(C15:N15)</f>
        <v>0</v>
      </c>
      <c r="P15" s="230"/>
      <c r="S15" s="620"/>
    </row>
    <row r="16" spans="1:19" s="33" customFormat="1" ht="16.5" customHeight="1">
      <c r="A16" s="47" t="s">
        <v>103</v>
      </c>
      <c r="B16" s="7" t="s">
        <v>156</v>
      </c>
      <c r="C16" s="599">
        <f>$P$16*0.032</f>
        <v>0</v>
      </c>
      <c r="D16" s="124">
        <f>P16*0.096</f>
        <v>0</v>
      </c>
      <c r="E16" s="124">
        <f>P16*0.25</f>
        <v>0</v>
      </c>
      <c r="F16" s="599">
        <f>$P$16*0.032</f>
        <v>0</v>
      </c>
      <c r="G16" s="124">
        <f>P16*0.16</f>
        <v>0</v>
      </c>
      <c r="H16" s="124">
        <f>$P$16*0.02</f>
        <v>0</v>
      </c>
      <c r="I16" s="124">
        <f>P16*0.014</f>
        <v>0</v>
      </c>
      <c r="J16" s="124">
        <f>P16*0.24</f>
        <v>0</v>
      </c>
      <c r="K16" s="599">
        <f>$P$16*0.032</f>
        <v>0</v>
      </c>
      <c r="L16" s="124">
        <f>$P$16*0.02</f>
        <v>0</v>
      </c>
      <c r="M16" s="124">
        <f>$P$16*0.02</f>
        <v>0</v>
      </c>
      <c r="N16" s="124">
        <f>P16*0.075+2670</f>
        <v>2670</v>
      </c>
      <c r="O16" s="597">
        <f>SUM(C16:N16)</f>
        <v>2670</v>
      </c>
      <c r="P16" s="125"/>
      <c r="Q16" s="43"/>
      <c r="S16" s="620"/>
    </row>
    <row r="17" spans="1:19" s="33" customFormat="1" ht="16.5" customHeight="1">
      <c r="A17" s="47" t="s">
        <v>104</v>
      </c>
      <c r="B17" s="7" t="s">
        <v>512</v>
      </c>
      <c r="C17" s="599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597"/>
      <c r="P17" s="125"/>
      <c r="S17" s="620"/>
    </row>
    <row r="18" spans="1:19" s="33" customFormat="1" ht="16.5" customHeight="1">
      <c r="A18" s="46" t="s">
        <v>105</v>
      </c>
      <c r="B18" s="3" t="s">
        <v>106</v>
      </c>
      <c r="C18" s="596">
        <f aca="true" t="shared" si="8" ref="C18:N18">SUM(C19:C21)</f>
        <v>0</v>
      </c>
      <c r="D18" s="596">
        <f t="shared" si="8"/>
        <v>0</v>
      </c>
      <c r="E18" s="596">
        <f t="shared" si="8"/>
        <v>0</v>
      </c>
      <c r="F18" s="596">
        <f t="shared" si="8"/>
        <v>0</v>
      </c>
      <c r="G18" s="596">
        <f t="shared" si="8"/>
        <v>0</v>
      </c>
      <c r="H18" s="596">
        <f t="shared" si="8"/>
        <v>0</v>
      </c>
      <c r="I18" s="596">
        <f t="shared" si="8"/>
        <v>0</v>
      </c>
      <c r="J18" s="596">
        <f t="shared" si="8"/>
        <v>0</v>
      </c>
      <c r="K18" s="596">
        <f t="shared" si="8"/>
        <v>0</v>
      </c>
      <c r="L18" s="596">
        <f t="shared" si="8"/>
        <v>0</v>
      </c>
      <c r="M18" s="596">
        <f t="shared" si="8"/>
        <v>0</v>
      </c>
      <c r="N18" s="596">
        <f t="shared" si="8"/>
        <v>-2</v>
      </c>
      <c r="O18" s="598">
        <f aca="true" t="shared" si="9" ref="O18:O25">SUM(C18:N18)</f>
        <v>-2</v>
      </c>
      <c r="P18" s="230"/>
      <c r="S18" s="620"/>
    </row>
    <row r="19" spans="1:19" s="33" customFormat="1" ht="16.5" customHeight="1">
      <c r="A19" s="47" t="s">
        <v>38</v>
      </c>
      <c r="B19" s="7" t="s">
        <v>107</v>
      </c>
      <c r="C19" s="599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597">
        <f t="shared" si="9"/>
        <v>0</v>
      </c>
      <c r="P19" s="230"/>
      <c r="S19" s="620"/>
    </row>
    <row r="20" spans="1:19" s="33" customFormat="1" ht="16.5" customHeight="1">
      <c r="A20" s="47" t="s">
        <v>43</v>
      </c>
      <c r="B20" s="7" t="s">
        <v>108</v>
      </c>
      <c r="C20" s="599">
        <f>$P$20/12</f>
        <v>0</v>
      </c>
      <c r="D20" s="599">
        <f aca="true" t="shared" si="10" ref="D20:M20">$P$20/12</f>
        <v>0</v>
      </c>
      <c r="E20" s="599">
        <f t="shared" si="10"/>
        <v>0</v>
      </c>
      <c r="F20" s="599">
        <f t="shared" si="10"/>
        <v>0</v>
      </c>
      <c r="G20" s="599">
        <f t="shared" si="10"/>
        <v>0</v>
      </c>
      <c r="H20" s="599">
        <f t="shared" si="10"/>
        <v>0</v>
      </c>
      <c r="I20" s="599">
        <f t="shared" si="10"/>
        <v>0</v>
      </c>
      <c r="J20" s="599">
        <f t="shared" si="10"/>
        <v>0</v>
      </c>
      <c r="K20" s="599">
        <f t="shared" si="10"/>
        <v>0</v>
      </c>
      <c r="L20" s="599">
        <f t="shared" si="10"/>
        <v>0</v>
      </c>
      <c r="M20" s="599">
        <f t="shared" si="10"/>
        <v>0</v>
      </c>
      <c r="N20" s="599">
        <f>$P$20/12-2</f>
        <v>-2</v>
      </c>
      <c r="O20" s="597">
        <f t="shared" si="9"/>
        <v>-2</v>
      </c>
      <c r="P20" s="125"/>
      <c r="Q20" s="43"/>
      <c r="S20" s="620"/>
    </row>
    <row r="21" spans="1:19" s="33" customFormat="1" ht="16.5" customHeight="1">
      <c r="A21" s="47" t="s">
        <v>45</v>
      </c>
      <c r="B21" s="7" t="s">
        <v>302</v>
      </c>
      <c r="C21" s="599"/>
      <c r="D21" s="124"/>
      <c r="E21" s="124"/>
      <c r="F21" s="124"/>
      <c r="G21" s="124"/>
      <c r="H21" s="124"/>
      <c r="I21" s="124"/>
      <c r="J21" s="124">
        <f>P21</f>
        <v>0</v>
      </c>
      <c r="K21" s="124"/>
      <c r="L21" s="124"/>
      <c r="M21" s="124"/>
      <c r="N21" s="124"/>
      <c r="O21" s="597">
        <f t="shared" si="9"/>
        <v>0</v>
      </c>
      <c r="P21" s="230"/>
      <c r="S21" s="620"/>
    </row>
    <row r="22" spans="1:19" s="33" customFormat="1" ht="16.5" customHeight="1">
      <c r="A22" s="46" t="s">
        <v>157</v>
      </c>
      <c r="B22" s="3" t="s">
        <v>225</v>
      </c>
      <c r="C22" s="596">
        <f>SUM(C23:C26)</f>
        <v>0</v>
      </c>
      <c r="D22" s="596">
        <f aca="true" t="shared" si="11" ref="D22:I22">SUM(D23:D26)</f>
        <v>0</v>
      </c>
      <c r="E22" s="596">
        <f t="shared" si="11"/>
        <v>0</v>
      </c>
      <c r="F22" s="596">
        <f t="shared" si="11"/>
        <v>0</v>
      </c>
      <c r="G22" s="596">
        <f t="shared" si="11"/>
        <v>0</v>
      </c>
      <c r="H22" s="596">
        <f t="shared" si="11"/>
        <v>0</v>
      </c>
      <c r="I22" s="596">
        <f t="shared" si="11"/>
        <v>0</v>
      </c>
      <c r="J22" s="596">
        <f>SUM(J23:J26)</f>
        <v>0</v>
      </c>
      <c r="K22" s="596">
        <f>SUM(K23:K26)</f>
        <v>0</v>
      </c>
      <c r="L22" s="596">
        <f>SUM(L23:L26)</f>
        <v>0</v>
      </c>
      <c r="M22" s="596">
        <f>SUM(M23:M26)</f>
        <v>0</v>
      </c>
      <c r="N22" s="596">
        <f>SUM(N23:N26)</f>
        <v>-3</v>
      </c>
      <c r="O22" s="598">
        <f t="shared" si="9"/>
        <v>-3</v>
      </c>
      <c r="P22" s="230"/>
      <c r="Q22" s="43"/>
      <c r="S22" s="620"/>
    </row>
    <row r="23" spans="1:19" s="33" customFormat="1" ht="16.5" customHeight="1">
      <c r="A23" s="47" t="s">
        <v>177</v>
      </c>
      <c r="B23" s="7" t="s">
        <v>230</v>
      </c>
      <c r="C23" s="599">
        <f>$P$23*0.071</f>
        <v>0</v>
      </c>
      <c r="D23" s="599">
        <f>$P$23*0.071</f>
        <v>0</v>
      </c>
      <c r="E23" s="124">
        <f>$P$23*0.14</f>
        <v>0</v>
      </c>
      <c r="F23" s="599">
        <f>$P$23*0.071</f>
        <v>0</v>
      </c>
      <c r="G23" s="599">
        <f>$P$23*0.071</f>
        <v>0</v>
      </c>
      <c r="H23" s="599">
        <f aca="true" t="shared" si="12" ref="H23:M23">$P$23*0.071</f>
        <v>0</v>
      </c>
      <c r="I23" s="599">
        <f t="shared" si="12"/>
        <v>0</v>
      </c>
      <c r="J23" s="599">
        <f t="shared" si="12"/>
        <v>0</v>
      </c>
      <c r="K23" s="124">
        <f>$P$23*0.15</f>
        <v>0</v>
      </c>
      <c r="L23" s="599">
        <f t="shared" si="12"/>
        <v>0</v>
      </c>
      <c r="M23" s="599">
        <f t="shared" si="12"/>
        <v>0</v>
      </c>
      <c r="N23" s="599">
        <f>$P$23*0.071-3</f>
        <v>-3</v>
      </c>
      <c r="O23" s="597">
        <f t="shared" si="9"/>
        <v>-3</v>
      </c>
      <c r="P23" s="125"/>
      <c r="Q23" s="43"/>
      <c r="S23" s="620"/>
    </row>
    <row r="24" spans="1:19" s="33" customFormat="1" ht="16.5" customHeight="1">
      <c r="A24" s="47" t="s">
        <v>178</v>
      </c>
      <c r="B24" s="7" t="s">
        <v>176</v>
      </c>
      <c r="C24" s="599">
        <f>$P$24/12</f>
        <v>0</v>
      </c>
      <c r="D24" s="599">
        <f aca="true" t="shared" si="13" ref="D24:N24">$P$24/12</f>
        <v>0</v>
      </c>
      <c r="E24" s="599">
        <f t="shared" si="13"/>
        <v>0</v>
      </c>
      <c r="F24" s="599">
        <f t="shared" si="13"/>
        <v>0</v>
      </c>
      <c r="G24" s="599">
        <f t="shared" si="13"/>
        <v>0</v>
      </c>
      <c r="H24" s="599">
        <f t="shared" si="13"/>
        <v>0</v>
      </c>
      <c r="I24" s="599">
        <f t="shared" si="13"/>
        <v>0</v>
      </c>
      <c r="J24" s="599">
        <f t="shared" si="13"/>
        <v>0</v>
      </c>
      <c r="K24" s="599">
        <f t="shared" si="13"/>
        <v>0</v>
      </c>
      <c r="L24" s="599">
        <f t="shared" si="13"/>
        <v>0</v>
      </c>
      <c r="M24" s="599">
        <f t="shared" si="13"/>
        <v>0</v>
      </c>
      <c r="N24" s="599">
        <f t="shared" si="13"/>
        <v>0</v>
      </c>
      <c r="O24" s="597">
        <f t="shared" si="9"/>
        <v>0</v>
      </c>
      <c r="P24" s="230"/>
      <c r="S24" s="620"/>
    </row>
    <row r="25" spans="1:19" s="33" customFormat="1" ht="16.5" customHeight="1">
      <c r="A25" s="47" t="s">
        <v>179</v>
      </c>
      <c r="B25" s="7" t="s">
        <v>158</v>
      </c>
      <c r="C25" s="599"/>
      <c r="D25" s="124"/>
      <c r="E25" s="124"/>
      <c r="F25" s="124"/>
      <c r="G25" s="124"/>
      <c r="H25" s="124">
        <f>P25/2</f>
        <v>0</v>
      </c>
      <c r="I25" s="124"/>
      <c r="J25" s="124"/>
      <c r="K25" s="124"/>
      <c r="L25" s="124"/>
      <c r="M25" s="124"/>
      <c r="N25" s="124">
        <f>P25/2</f>
        <v>0</v>
      </c>
      <c r="O25" s="597">
        <f t="shared" si="9"/>
        <v>0</v>
      </c>
      <c r="P25" s="230"/>
      <c r="S25" s="620"/>
    </row>
    <row r="26" spans="1:19" s="33" customFormat="1" ht="16.5" customHeight="1">
      <c r="A26" s="47" t="s">
        <v>180</v>
      </c>
      <c r="B26" s="7" t="s">
        <v>176</v>
      </c>
      <c r="C26" s="599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597"/>
      <c r="P26" s="230"/>
      <c r="S26" s="620"/>
    </row>
    <row r="27" spans="1:19" s="33" customFormat="1" ht="16.5" customHeight="1">
      <c r="A27" s="46" t="s">
        <v>224</v>
      </c>
      <c r="B27" s="3" t="s">
        <v>160</v>
      </c>
      <c r="C27" s="596">
        <f>C28+C29</f>
        <v>0</v>
      </c>
      <c r="D27" s="596">
        <f aca="true" t="shared" si="14" ref="D27:O27">D28+D29</f>
        <v>0</v>
      </c>
      <c r="E27" s="596">
        <f t="shared" si="14"/>
        <v>0</v>
      </c>
      <c r="F27" s="596">
        <f t="shared" si="14"/>
        <v>0</v>
      </c>
      <c r="G27" s="596">
        <f t="shared" si="14"/>
        <v>0</v>
      </c>
      <c r="H27" s="596">
        <f t="shared" si="14"/>
        <v>0</v>
      </c>
      <c r="I27" s="596">
        <f t="shared" si="14"/>
        <v>0</v>
      </c>
      <c r="J27" s="596">
        <f t="shared" si="14"/>
        <v>0</v>
      </c>
      <c r="K27" s="596">
        <f t="shared" si="14"/>
        <v>0</v>
      </c>
      <c r="L27" s="596">
        <f t="shared" si="14"/>
        <v>0</v>
      </c>
      <c r="M27" s="596">
        <f t="shared" si="14"/>
        <v>0</v>
      </c>
      <c r="N27" s="596">
        <f t="shared" si="14"/>
        <v>0</v>
      </c>
      <c r="O27" s="623">
        <f t="shared" si="14"/>
        <v>0</v>
      </c>
      <c r="P27" s="230"/>
      <c r="S27" s="620"/>
    </row>
    <row r="28" spans="1:19" s="33" customFormat="1" ht="16.5" customHeight="1">
      <c r="A28" s="47" t="s">
        <v>38</v>
      </c>
      <c r="B28" s="7" t="s">
        <v>109</v>
      </c>
      <c r="C28" s="599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597">
        <f>SUM(C28:N28)</f>
        <v>0</v>
      </c>
      <c r="P28" s="125"/>
      <c r="S28" s="620"/>
    </row>
    <row r="29" spans="1:19" s="33" customFormat="1" ht="16.5" customHeight="1">
      <c r="A29" s="47" t="s">
        <v>43</v>
      </c>
      <c r="B29" s="7" t="s">
        <v>110</v>
      </c>
      <c r="C29" s="599"/>
      <c r="D29" s="602"/>
      <c r="E29" s="602">
        <f>P29</f>
        <v>0</v>
      </c>
      <c r="F29" s="602"/>
      <c r="G29" s="602"/>
      <c r="H29" s="602"/>
      <c r="I29" s="602"/>
      <c r="J29" s="602"/>
      <c r="K29" s="602"/>
      <c r="L29" s="602"/>
      <c r="M29" s="602"/>
      <c r="N29" s="602"/>
      <c r="O29" s="597">
        <f>SUM(C29:N29)</f>
        <v>0</v>
      </c>
      <c r="P29" s="125"/>
      <c r="S29" s="620"/>
    </row>
    <row r="30" spans="1:19" s="31" customFormat="1" ht="16.5" customHeight="1">
      <c r="A30" s="603" t="s">
        <v>112</v>
      </c>
      <c r="B30" s="16" t="s">
        <v>513</v>
      </c>
      <c r="C30" s="604">
        <f>$P$30/12</f>
        <v>0</v>
      </c>
      <c r="D30" s="604">
        <f aca="true" t="shared" si="15" ref="D30:N30">$P$30/12</f>
        <v>0</v>
      </c>
      <c r="E30" s="604">
        <f t="shared" si="15"/>
        <v>0</v>
      </c>
      <c r="F30" s="604">
        <f t="shared" si="15"/>
        <v>0</v>
      </c>
      <c r="G30" s="604">
        <f t="shared" si="15"/>
        <v>0</v>
      </c>
      <c r="H30" s="604">
        <f t="shared" si="15"/>
        <v>0</v>
      </c>
      <c r="I30" s="604">
        <f t="shared" si="15"/>
        <v>0</v>
      </c>
      <c r="J30" s="604">
        <f t="shared" si="15"/>
        <v>0</v>
      </c>
      <c r="K30" s="604">
        <f t="shared" si="15"/>
        <v>0</v>
      </c>
      <c r="L30" s="604">
        <f t="shared" si="15"/>
        <v>0</v>
      </c>
      <c r="M30" s="604">
        <f t="shared" si="15"/>
        <v>0</v>
      </c>
      <c r="N30" s="604">
        <f t="shared" si="15"/>
        <v>0</v>
      </c>
      <c r="O30" s="601">
        <f aca="true" t="shared" si="16" ref="O30:O35">SUM(C30:N30)</f>
        <v>0</v>
      </c>
      <c r="P30" s="125"/>
      <c r="S30" s="621"/>
    </row>
    <row r="31" spans="1:19" s="33" customFormat="1" ht="16.5" customHeight="1">
      <c r="A31" s="46" t="s">
        <v>117</v>
      </c>
      <c r="B31" s="151" t="s">
        <v>113</v>
      </c>
      <c r="C31" s="605">
        <f>SUM(C32:C34)</f>
        <v>0</v>
      </c>
      <c r="D31" s="605">
        <f aca="true" t="shared" si="17" ref="D31:N31">SUM(D32:D34)</f>
        <v>0</v>
      </c>
      <c r="E31" s="605">
        <f t="shared" si="17"/>
        <v>0</v>
      </c>
      <c r="F31" s="605">
        <f t="shared" si="17"/>
        <v>0</v>
      </c>
      <c r="G31" s="605">
        <f t="shared" si="17"/>
        <v>0</v>
      </c>
      <c r="H31" s="605">
        <f t="shared" si="17"/>
        <v>0</v>
      </c>
      <c r="I31" s="605">
        <f t="shared" si="17"/>
        <v>0</v>
      </c>
      <c r="J31" s="605">
        <f t="shared" si="17"/>
        <v>0</v>
      </c>
      <c r="K31" s="605">
        <f t="shared" si="17"/>
        <v>0</v>
      </c>
      <c r="L31" s="605">
        <f t="shared" si="17"/>
        <v>0</v>
      </c>
      <c r="M31" s="605">
        <f t="shared" si="17"/>
        <v>0</v>
      </c>
      <c r="N31" s="605">
        <f t="shared" si="17"/>
        <v>0</v>
      </c>
      <c r="O31" s="598">
        <f t="shared" si="16"/>
        <v>0</v>
      </c>
      <c r="P31" s="230"/>
      <c r="S31" s="620"/>
    </row>
    <row r="32" spans="1:19" s="33" customFormat="1" ht="16.5" customHeight="1">
      <c r="A32" s="47" t="s">
        <v>38</v>
      </c>
      <c r="B32" s="9" t="s">
        <v>114</v>
      </c>
      <c r="C32" s="600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598">
        <f t="shared" si="16"/>
        <v>0</v>
      </c>
      <c r="P32" s="230"/>
      <c r="S32" s="620"/>
    </row>
    <row r="33" spans="1:19" s="33" customFormat="1" ht="16.5" customHeight="1">
      <c r="A33" s="47" t="s">
        <v>43</v>
      </c>
      <c r="B33" s="9" t="s">
        <v>115</v>
      </c>
      <c r="C33" s="600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601">
        <f t="shared" si="16"/>
        <v>0</v>
      </c>
      <c r="P33" s="125"/>
      <c r="S33" s="620"/>
    </row>
    <row r="34" spans="1:19" s="33" customFormat="1" ht="16.5" customHeight="1">
      <c r="A34" s="47" t="s">
        <v>45</v>
      </c>
      <c r="B34" s="9" t="s">
        <v>161</v>
      </c>
      <c r="C34" s="600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601">
        <f t="shared" si="16"/>
        <v>0</v>
      </c>
      <c r="P34" s="125"/>
      <c r="S34" s="620"/>
    </row>
    <row r="35" spans="1:19" s="33" customFormat="1" ht="16.5" customHeight="1">
      <c r="A35" s="46"/>
      <c r="B35" s="19" t="s">
        <v>116</v>
      </c>
      <c r="C35" s="605">
        <f aca="true" t="shared" si="18" ref="C35:N35">+C31+C30+C27+C22+C18+C13+C7+C6+C5</f>
        <v>168136</v>
      </c>
      <c r="D35" s="605">
        <f t="shared" si="18"/>
        <v>168136</v>
      </c>
      <c r="E35" s="605">
        <f t="shared" si="18"/>
        <v>168136</v>
      </c>
      <c r="F35" s="605">
        <f t="shared" si="18"/>
        <v>473817</v>
      </c>
      <c r="G35" s="605">
        <f t="shared" si="18"/>
        <v>473817</v>
      </c>
      <c r="H35" s="605">
        <f t="shared" si="18"/>
        <v>473817</v>
      </c>
      <c r="I35" s="605">
        <f t="shared" si="18"/>
        <v>473817</v>
      </c>
      <c r="J35" s="605">
        <f t="shared" si="18"/>
        <v>473817</v>
      </c>
      <c r="K35" s="605">
        <f t="shared" si="18"/>
        <v>169081</v>
      </c>
      <c r="L35" s="605">
        <f t="shared" si="18"/>
        <v>473818</v>
      </c>
      <c r="M35" s="605">
        <f t="shared" si="18"/>
        <v>473818</v>
      </c>
      <c r="N35" s="605">
        <f t="shared" si="18"/>
        <v>194010</v>
      </c>
      <c r="O35" s="598">
        <f t="shared" si="16"/>
        <v>4184220</v>
      </c>
      <c r="P35" s="230"/>
      <c r="S35" s="620"/>
    </row>
    <row r="36" spans="1:19" s="33" customFormat="1" ht="16.5" customHeight="1">
      <c r="A36" s="46" t="s">
        <v>122</v>
      </c>
      <c r="B36" s="19" t="s">
        <v>354</v>
      </c>
      <c r="C36" s="605">
        <f>SUM(C37:C40)</f>
        <v>0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597"/>
      <c r="P36" s="230"/>
      <c r="S36" s="620"/>
    </row>
    <row r="37" spans="1:19" s="33" customFormat="1" ht="16.5" customHeight="1">
      <c r="A37" s="47" t="s">
        <v>38</v>
      </c>
      <c r="B37" s="9" t="s">
        <v>120</v>
      </c>
      <c r="C37" s="600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597"/>
      <c r="P37" s="588"/>
      <c r="S37" s="620"/>
    </row>
    <row r="38" spans="1:19" s="33" customFormat="1" ht="16.5" customHeight="1">
      <c r="A38" s="47" t="s">
        <v>43</v>
      </c>
      <c r="B38" s="9" t="s">
        <v>226</v>
      </c>
      <c r="C38" s="600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597"/>
      <c r="P38" s="588"/>
      <c r="S38" s="620"/>
    </row>
    <row r="39" spans="1:19" s="33" customFormat="1" ht="16.5" customHeight="1">
      <c r="A39" s="47" t="s">
        <v>45</v>
      </c>
      <c r="B39" s="9" t="s">
        <v>514</v>
      </c>
      <c r="C39" s="600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597"/>
      <c r="P39" s="588"/>
      <c r="S39" s="620"/>
    </row>
    <row r="40" spans="1:19" s="33" customFormat="1" ht="16.5" customHeight="1">
      <c r="A40" s="47" t="s">
        <v>47</v>
      </c>
      <c r="B40" s="9" t="s">
        <v>123</v>
      </c>
      <c r="C40" s="599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597"/>
      <c r="P40" s="587"/>
      <c r="S40" s="620"/>
    </row>
    <row r="41" spans="1:19" s="33" customFormat="1" ht="16.5" customHeight="1">
      <c r="A41" s="46"/>
      <c r="B41" s="3" t="s">
        <v>121</v>
      </c>
      <c r="C41" s="596">
        <f>+C36+C35</f>
        <v>168136</v>
      </c>
      <c r="D41" s="596">
        <f aca="true" t="shared" si="19" ref="D41:N41">+D36+D35</f>
        <v>168136</v>
      </c>
      <c r="E41" s="596">
        <f t="shared" si="19"/>
        <v>168136</v>
      </c>
      <c r="F41" s="596">
        <f t="shared" si="19"/>
        <v>473817</v>
      </c>
      <c r="G41" s="596">
        <f t="shared" si="19"/>
        <v>473817</v>
      </c>
      <c r="H41" s="596">
        <f t="shared" si="19"/>
        <v>473817</v>
      </c>
      <c r="I41" s="596">
        <f t="shared" si="19"/>
        <v>473817</v>
      </c>
      <c r="J41" s="596">
        <f t="shared" si="19"/>
        <v>473817</v>
      </c>
      <c r="K41" s="596">
        <f t="shared" si="19"/>
        <v>169081</v>
      </c>
      <c r="L41" s="596">
        <f t="shared" si="19"/>
        <v>473818</v>
      </c>
      <c r="M41" s="596">
        <f t="shared" si="19"/>
        <v>473818</v>
      </c>
      <c r="N41" s="596">
        <f t="shared" si="19"/>
        <v>194010</v>
      </c>
      <c r="O41" s="598">
        <f>SUM(C41:N41)</f>
        <v>4184220</v>
      </c>
      <c r="P41" s="230"/>
      <c r="S41" s="620"/>
    </row>
    <row r="42" spans="1:19" s="33" customFormat="1" ht="16.5" customHeight="1">
      <c r="A42" s="538"/>
      <c r="B42" s="120"/>
      <c r="C42" s="606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8"/>
      <c r="P42" s="125"/>
      <c r="S42" s="620"/>
    </row>
    <row r="43" spans="1:19" s="33" customFormat="1" ht="16.5" customHeight="1">
      <c r="A43" s="540"/>
      <c r="B43" s="121" t="s">
        <v>124</v>
      </c>
      <c r="C43" s="609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597"/>
      <c r="P43" s="125"/>
      <c r="S43" s="620"/>
    </row>
    <row r="44" spans="1:19" s="33" customFormat="1" ht="33" customHeight="1">
      <c r="A44" s="49" t="s">
        <v>38</v>
      </c>
      <c r="B44" s="17" t="s">
        <v>348</v>
      </c>
      <c r="C44" s="610">
        <f>P44*0.13</f>
        <v>0</v>
      </c>
      <c r="D44" s="124">
        <f>P44*0.07</f>
        <v>0</v>
      </c>
      <c r="E44" s="124">
        <f>P44*0.115</f>
        <v>0</v>
      </c>
      <c r="F44" s="124">
        <f>$P$44*0.07</f>
        <v>0</v>
      </c>
      <c r="G44" s="124">
        <f>$P$44*0.07</f>
        <v>0</v>
      </c>
      <c r="H44" s="124">
        <f>P44*0.07</f>
        <v>0</v>
      </c>
      <c r="I44" s="124">
        <f>$P$44*0.07</f>
        <v>0</v>
      </c>
      <c r="J44" s="124">
        <f>P44*0.065</f>
        <v>0</v>
      </c>
      <c r="K44" s="124">
        <f>P44*0.08</f>
        <v>0</v>
      </c>
      <c r="L44" s="124">
        <f>$P$44*0.07</f>
        <v>0</v>
      </c>
      <c r="M44" s="124">
        <f>P44*0.09</f>
        <v>0</v>
      </c>
      <c r="N44" s="124">
        <f>P44*0.1-2</f>
        <v>-2</v>
      </c>
      <c r="O44" s="597">
        <f>SUM(C44:N44)</f>
        <v>-2</v>
      </c>
      <c r="P44" s="125"/>
      <c r="Q44" s="43"/>
      <c r="S44" s="620"/>
    </row>
    <row r="45" spans="1:19" s="33" customFormat="1" ht="33.75" customHeight="1">
      <c r="A45" s="49" t="s">
        <v>43</v>
      </c>
      <c r="B45" s="7" t="s">
        <v>533</v>
      </c>
      <c r="C45" s="599">
        <f>P45*0.103</f>
        <v>0</v>
      </c>
      <c r="D45" s="124">
        <f>P45*0.063</f>
        <v>0</v>
      </c>
      <c r="E45" s="124">
        <f>$P$45*0.083</f>
        <v>0</v>
      </c>
      <c r="F45" s="124">
        <f aca="true" t="shared" si="20" ref="F45:K45">$P$45*0.078</f>
        <v>0</v>
      </c>
      <c r="G45" s="124">
        <f t="shared" si="20"/>
        <v>0</v>
      </c>
      <c r="H45" s="124">
        <f t="shared" si="20"/>
        <v>0</v>
      </c>
      <c r="I45" s="124">
        <f t="shared" si="20"/>
        <v>0</v>
      </c>
      <c r="J45" s="124">
        <f t="shared" si="20"/>
        <v>0</v>
      </c>
      <c r="K45" s="124">
        <f t="shared" si="20"/>
        <v>0</v>
      </c>
      <c r="L45" s="124">
        <f>$P$45*0.083</f>
        <v>0</v>
      </c>
      <c r="M45" s="124">
        <f>$P$45*0.083</f>
        <v>0</v>
      </c>
      <c r="N45" s="124">
        <f>P45*0.116+1617</f>
        <v>1617</v>
      </c>
      <c r="O45" s="597">
        <f>SUM(C45:N45)</f>
        <v>1617</v>
      </c>
      <c r="P45" s="125"/>
      <c r="Q45" s="43"/>
      <c r="S45" s="620"/>
    </row>
    <row r="46" spans="1:19" s="33" customFormat="1" ht="16.5" customHeight="1">
      <c r="A46" s="49" t="s">
        <v>45</v>
      </c>
      <c r="B46" s="7" t="s">
        <v>125</v>
      </c>
      <c r="C46" s="599">
        <f>$P$46*0.076</f>
        <v>0</v>
      </c>
      <c r="D46" s="599">
        <f>$P$46*0.076</f>
        <v>0</v>
      </c>
      <c r="E46" s="599">
        <f>$P$46*0.076</f>
        <v>0</v>
      </c>
      <c r="F46" s="124">
        <f>$P$46*0.075</f>
        <v>0</v>
      </c>
      <c r="G46" s="124">
        <f>$P$46*0.075</f>
        <v>0</v>
      </c>
      <c r="H46" s="124">
        <f>$P$46*0.075</f>
        <v>0</v>
      </c>
      <c r="I46" s="124">
        <f>$P$46*0.075</f>
        <v>0</v>
      </c>
      <c r="J46" s="124">
        <f>$P$46*0.075</f>
        <v>0</v>
      </c>
      <c r="K46" s="124">
        <f>P46*0.126</f>
        <v>0</v>
      </c>
      <c r="L46" s="124">
        <f>$P$46*0.088</f>
        <v>0</v>
      </c>
      <c r="M46" s="124">
        <f>$P$46*0.088</f>
        <v>0</v>
      </c>
      <c r="N46" s="124">
        <f>P46*0.095+2</f>
        <v>2</v>
      </c>
      <c r="O46" s="597">
        <f>SUM(C46:N46)</f>
        <v>2</v>
      </c>
      <c r="P46" s="125"/>
      <c r="Q46" s="43"/>
      <c r="S46" s="620"/>
    </row>
    <row r="47" spans="1:19" s="33" customFormat="1" ht="16.5" customHeight="1">
      <c r="A47" s="49" t="s">
        <v>47</v>
      </c>
      <c r="B47" s="7" t="s">
        <v>126</v>
      </c>
      <c r="C47" s="599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597"/>
      <c r="P47" s="125"/>
      <c r="S47" s="620"/>
    </row>
    <row r="48" spans="1:19" s="33" customFormat="1" ht="16.5" customHeight="1">
      <c r="A48" s="49" t="s">
        <v>36</v>
      </c>
      <c r="B48" s="7" t="s">
        <v>191</v>
      </c>
      <c r="C48" s="599">
        <f>P48*0.093</f>
        <v>0</v>
      </c>
      <c r="D48" s="124">
        <f>P48*0.051</f>
        <v>0</v>
      </c>
      <c r="E48" s="124">
        <f>P48*0.098</f>
        <v>0</v>
      </c>
      <c r="F48" s="124">
        <f>P48*0.104</f>
        <v>0</v>
      </c>
      <c r="G48" s="124">
        <f>$P$48*0.075</f>
        <v>0</v>
      </c>
      <c r="H48" s="124">
        <f>$P$48*0.075</f>
        <v>0</v>
      </c>
      <c r="I48" s="124">
        <f>P48*0.098</f>
        <v>0</v>
      </c>
      <c r="J48" s="124">
        <f>$P$48*0.075</f>
        <v>0</v>
      </c>
      <c r="K48" s="124">
        <f>P48*0.081</f>
        <v>0</v>
      </c>
      <c r="L48" s="124">
        <f>P48*0.099</f>
        <v>0</v>
      </c>
      <c r="M48" s="124">
        <f>P48*0.0723</f>
        <v>0</v>
      </c>
      <c r="N48" s="124">
        <f>P48*0.0752+2841</f>
        <v>2841</v>
      </c>
      <c r="O48" s="597">
        <f aca="true" t="shared" si="21" ref="O48:O55">SUM(C48:N48)</f>
        <v>2841</v>
      </c>
      <c r="P48" s="125"/>
      <c r="Q48" s="43"/>
      <c r="S48" s="620"/>
    </row>
    <row r="49" spans="1:19" s="33" customFormat="1" ht="16.5" customHeight="1">
      <c r="A49" s="49" t="s">
        <v>50</v>
      </c>
      <c r="B49" s="14" t="s">
        <v>231</v>
      </c>
      <c r="C49" s="387"/>
      <c r="D49" s="124"/>
      <c r="E49" s="124"/>
      <c r="F49" s="124"/>
      <c r="G49" s="124">
        <f>P49*0.353</f>
        <v>0</v>
      </c>
      <c r="H49" s="124"/>
      <c r="I49" s="124">
        <f>P49*0.365</f>
        <v>0</v>
      </c>
      <c r="J49" s="124"/>
      <c r="K49" s="124"/>
      <c r="L49" s="124">
        <f>P49*0.282</f>
        <v>0</v>
      </c>
      <c r="M49" s="124"/>
      <c r="N49" s="124"/>
      <c r="O49" s="597">
        <f t="shared" si="21"/>
        <v>0</v>
      </c>
      <c r="P49" s="125"/>
      <c r="Q49" s="43"/>
      <c r="S49" s="620"/>
    </row>
    <row r="50" spans="1:19" s="33" customFormat="1" ht="16.5" customHeight="1">
      <c r="A50" s="49" t="s">
        <v>52</v>
      </c>
      <c r="B50" s="14" t="s">
        <v>463</v>
      </c>
      <c r="C50" s="387"/>
      <c r="D50" s="124"/>
      <c r="E50" s="124"/>
      <c r="F50" s="124"/>
      <c r="G50" s="124">
        <f>P50*0.000742</f>
        <v>0</v>
      </c>
      <c r="H50" s="124">
        <f>$P$50*0.1803</f>
        <v>0</v>
      </c>
      <c r="I50" s="124">
        <f>$P$50*0.1803</f>
        <v>0</v>
      </c>
      <c r="J50" s="124">
        <f>P50*0.4802</f>
        <v>0</v>
      </c>
      <c r="K50" s="124">
        <f>P50*0.134732</f>
        <v>0</v>
      </c>
      <c r="L50" s="124">
        <f>P50*0.023608+100</f>
        <v>100</v>
      </c>
      <c r="M50" s="124"/>
      <c r="N50" s="124"/>
      <c r="O50" s="597">
        <f t="shared" si="21"/>
        <v>100</v>
      </c>
      <c r="P50" s="125"/>
      <c r="Q50" s="43"/>
      <c r="S50" s="620"/>
    </row>
    <row r="51" spans="1:19" s="33" customFormat="1" ht="16.5" customHeight="1">
      <c r="A51" s="49" t="s">
        <v>54</v>
      </c>
      <c r="B51" s="2" t="s">
        <v>127</v>
      </c>
      <c r="C51" s="124"/>
      <c r="D51" s="124"/>
      <c r="E51" s="124">
        <f>P51*0.11</f>
        <v>0</v>
      </c>
      <c r="F51" s="124">
        <f>P51*0.1007</f>
        <v>0</v>
      </c>
      <c r="G51" s="124">
        <f>P51*0.105</f>
        <v>0</v>
      </c>
      <c r="H51" s="124">
        <f>P51*0.1238</f>
        <v>0</v>
      </c>
      <c r="I51" s="124">
        <f>P51*0.128</f>
        <v>0</v>
      </c>
      <c r="J51" s="124">
        <f>P51*0.01154</f>
        <v>0</v>
      </c>
      <c r="K51" s="124">
        <f>P51*0.157</f>
        <v>0</v>
      </c>
      <c r="L51" s="124">
        <f>P51*0.095</f>
        <v>0</v>
      </c>
      <c r="M51" s="124">
        <f>P51*0.0976</f>
        <v>0</v>
      </c>
      <c r="N51" s="124">
        <f>P51*0.07+1295</f>
        <v>1295</v>
      </c>
      <c r="O51" s="597">
        <f t="shared" si="21"/>
        <v>1295</v>
      </c>
      <c r="P51" s="230"/>
      <c r="Q51" s="43"/>
      <c r="S51" s="620"/>
    </row>
    <row r="52" spans="1:19" s="33" customFormat="1" ht="16.5" customHeight="1">
      <c r="A52" s="49" t="s">
        <v>55</v>
      </c>
      <c r="B52" s="2" t="s">
        <v>571</v>
      </c>
      <c r="C52" s="124"/>
      <c r="D52" s="124"/>
      <c r="E52" s="124">
        <f>$P$52/4</f>
        <v>0</v>
      </c>
      <c r="F52" s="124"/>
      <c r="G52" s="124"/>
      <c r="H52" s="124">
        <f>$P$52/4</f>
        <v>0</v>
      </c>
      <c r="I52" s="124"/>
      <c r="J52" s="124"/>
      <c r="K52" s="124">
        <f>$P$52/4</f>
        <v>0</v>
      </c>
      <c r="L52" s="124"/>
      <c r="M52" s="124"/>
      <c r="N52" s="124">
        <f>$P$52/4</f>
        <v>0</v>
      </c>
      <c r="O52" s="597">
        <f t="shared" si="21"/>
        <v>0</v>
      </c>
      <c r="P52" s="125"/>
      <c r="S52" s="620"/>
    </row>
    <row r="53" spans="1:19" s="31" customFormat="1" ht="16.5" customHeight="1">
      <c r="A53" s="50" t="s">
        <v>57</v>
      </c>
      <c r="B53" s="15" t="s">
        <v>128</v>
      </c>
      <c r="C53" s="123">
        <f>SUM(C44:C52)</f>
        <v>0</v>
      </c>
      <c r="D53" s="123">
        <f aca="true" t="shared" si="22" ref="D53:O53">SUM(D44:D52)</f>
        <v>0</v>
      </c>
      <c r="E53" s="123">
        <f t="shared" si="22"/>
        <v>0</v>
      </c>
      <c r="F53" s="123">
        <f t="shared" si="22"/>
        <v>0</v>
      </c>
      <c r="G53" s="123">
        <f t="shared" si="22"/>
        <v>0</v>
      </c>
      <c r="H53" s="123">
        <f t="shared" si="22"/>
        <v>0</v>
      </c>
      <c r="I53" s="123">
        <f t="shared" si="22"/>
        <v>0</v>
      </c>
      <c r="J53" s="123">
        <f t="shared" si="22"/>
        <v>0</v>
      </c>
      <c r="K53" s="123">
        <f t="shared" si="22"/>
        <v>0</v>
      </c>
      <c r="L53" s="123">
        <f t="shared" si="22"/>
        <v>100</v>
      </c>
      <c r="M53" s="123">
        <f t="shared" si="22"/>
        <v>0</v>
      </c>
      <c r="N53" s="123">
        <f t="shared" si="22"/>
        <v>5753</v>
      </c>
      <c r="O53" s="598">
        <f t="shared" si="22"/>
        <v>5853</v>
      </c>
      <c r="P53" s="125"/>
      <c r="S53" s="621"/>
    </row>
    <row r="54" spans="1:19" s="33" customFormat="1" ht="16.5" customHeight="1">
      <c r="A54" s="49" t="s">
        <v>59</v>
      </c>
      <c r="B54" s="19" t="s">
        <v>354</v>
      </c>
      <c r="C54" s="124">
        <f>SUM(C55:C58)</f>
        <v>0</v>
      </c>
      <c r="D54" s="124">
        <f aca="true" t="shared" si="23" ref="D54:O54">SUM(D55:D58)</f>
        <v>0</v>
      </c>
      <c r="E54" s="124">
        <f t="shared" si="23"/>
        <v>0</v>
      </c>
      <c r="F54" s="124">
        <f t="shared" si="23"/>
        <v>0</v>
      </c>
      <c r="G54" s="124">
        <f t="shared" si="23"/>
        <v>0</v>
      </c>
      <c r="H54" s="124">
        <f t="shared" si="23"/>
        <v>0</v>
      </c>
      <c r="I54" s="124">
        <f t="shared" si="23"/>
        <v>0</v>
      </c>
      <c r="J54" s="124">
        <f t="shared" si="23"/>
        <v>0</v>
      </c>
      <c r="K54" s="124">
        <f t="shared" si="23"/>
        <v>0</v>
      </c>
      <c r="L54" s="124">
        <f t="shared" si="23"/>
        <v>0</v>
      </c>
      <c r="M54" s="124">
        <f t="shared" si="23"/>
        <v>0</v>
      </c>
      <c r="N54" s="124">
        <f t="shared" si="23"/>
        <v>0</v>
      </c>
      <c r="O54" s="597">
        <f t="shared" si="23"/>
        <v>0</v>
      </c>
      <c r="P54" s="125"/>
      <c r="S54" s="620"/>
    </row>
    <row r="55" spans="1:19" s="33" customFormat="1" ht="16.5" customHeight="1">
      <c r="A55" s="541"/>
      <c r="B55" s="9" t="s">
        <v>363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601">
        <f t="shared" si="21"/>
        <v>0</v>
      </c>
      <c r="P55" s="125"/>
      <c r="S55" s="620"/>
    </row>
    <row r="56" spans="1:19" s="33" customFormat="1" ht="16.5" customHeight="1">
      <c r="A56" s="541"/>
      <c r="B56" s="9" t="s">
        <v>353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601"/>
      <c r="P56" s="125"/>
      <c r="S56" s="620"/>
    </row>
    <row r="57" spans="1:19" s="33" customFormat="1" ht="16.5" customHeight="1">
      <c r="A57" s="541"/>
      <c r="B57" s="9" t="s">
        <v>515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601"/>
      <c r="P57" s="125"/>
      <c r="S57" s="620"/>
    </row>
    <row r="58" spans="1:19" s="33" customFormat="1" ht="16.5" customHeight="1">
      <c r="A58" s="541"/>
      <c r="B58" s="9" t="s">
        <v>216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601"/>
      <c r="P58" s="125"/>
      <c r="S58" s="620"/>
    </row>
    <row r="59" spans="1:19" s="33" customFormat="1" ht="16.5" customHeight="1">
      <c r="A59" s="50"/>
      <c r="B59" s="611" t="s">
        <v>130</v>
      </c>
      <c r="C59" s="123">
        <f>C53+C54</f>
        <v>0</v>
      </c>
      <c r="D59" s="123">
        <f aca="true" t="shared" si="24" ref="D59:O59">D53+D54</f>
        <v>0</v>
      </c>
      <c r="E59" s="123">
        <f t="shared" si="24"/>
        <v>0</v>
      </c>
      <c r="F59" s="123">
        <f t="shared" si="24"/>
        <v>0</v>
      </c>
      <c r="G59" s="123">
        <f t="shared" si="24"/>
        <v>0</v>
      </c>
      <c r="H59" s="123">
        <f t="shared" si="24"/>
        <v>0</v>
      </c>
      <c r="I59" s="123">
        <f t="shared" si="24"/>
        <v>0</v>
      </c>
      <c r="J59" s="123">
        <f t="shared" si="24"/>
        <v>0</v>
      </c>
      <c r="K59" s="123">
        <f t="shared" si="24"/>
        <v>0</v>
      </c>
      <c r="L59" s="123">
        <f t="shared" si="24"/>
        <v>100</v>
      </c>
      <c r="M59" s="123">
        <f t="shared" si="24"/>
        <v>0</v>
      </c>
      <c r="N59" s="123">
        <f t="shared" si="24"/>
        <v>5753</v>
      </c>
      <c r="O59" s="598">
        <f t="shared" si="24"/>
        <v>5853</v>
      </c>
      <c r="P59" s="230"/>
      <c r="S59" s="620"/>
    </row>
    <row r="60" spans="1:19" s="33" customFormat="1" ht="16.5" customHeight="1" thickBot="1">
      <c r="A60" s="612"/>
      <c r="B60" s="334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4"/>
      <c r="P60" s="125"/>
      <c r="S60" s="620"/>
    </row>
    <row r="61" spans="1:19" s="126" customFormat="1" ht="16.5" customHeight="1" thickBot="1">
      <c r="A61" s="615"/>
      <c r="B61" s="616" t="s">
        <v>32</v>
      </c>
      <c r="C61" s="617">
        <f>C2+C41-C59</f>
        <v>6946609</v>
      </c>
      <c r="D61" s="617">
        <f aca="true" t="shared" si="25" ref="D61:N61">D2+D41-D59</f>
        <v>7114745</v>
      </c>
      <c r="E61" s="617">
        <f t="shared" si="25"/>
        <v>7282881</v>
      </c>
      <c r="F61" s="617">
        <f t="shared" si="25"/>
        <v>7756698</v>
      </c>
      <c r="G61" s="617">
        <f t="shared" si="25"/>
        <v>8230515</v>
      </c>
      <c r="H61" s="617">
        <f t="shared" si="25"/>
        <v>8704332</v>
      </c>
      <c r="I61" s="617">
        <f t="shared" si="25"/>
        <v>9178149</v>
      </c>
      <c r="J61" s="617">
        <f t="shared" si="25"/>
        <v>9651966</v>
      </c>
      <c r="K61" s="617">
        <f t="shared" si="25"/>
        <v>9821047</v>
      </c>
      <c r="L61" s="617">
        <f t="shared" si="25"/>
        <v>10294765</v>
      </c>
      <c r="M61" s="617">
        <f t="shared" si="25"/>
        <v>10768583</v>
      </c>
      <c r="N61" s="617">
        <f t="shared" si="25"/>
        <v>10956840</v>
      </c>
      <c r="O61" s="618"/>
      <c r="P61" s="125"/>
      <c r="S61" s="622"/>
    </row>
  </sheetData>
  <sheetProtection/>
  <printOptions horizontalCentered="1" verticalCentered="1"/>
  <pageMargins left="0" right="0" top="0" bottom="0" header="0" footer="0"/>
  <pageSetup horizontalDpi="300" verticalDpi="300" orientation="landscape" paperSize="8" scale="75" r:id="rId1"/>
  <headerFooter alignWithMargins="0">
    <oddHeader>&amp;C&amp;"Times New Roman,Félkövér"A  9/2012. (II. 24.) önkormányzati rendelethez a Budapest Főváros IV. kerület Újpest Önkormányzatának előirányzat felhasználási ütemterve&amp;R&amp;"Times New Roman,Normál"7. sz. melléklet
eFt-ban</oddHeader>
    <oddFooter>&amp;C&amp;"Times New Roman,Normál"&amp;P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28125" style="1" bestFit="1" customWidth="1"/>
    <col min="2" max="2" width="30.57421875" style="1" customWidth="1"/>
    <col min="3" max="3" width="10.57421875" style="1" bestFit="1" customWidth="1"/>
    <col min="4" max="4" width="12.140625" style="1" bestFit="1" customWidth="1"/>
    <col min="5" max="5" width="10.7109375" style="1" bestFit="1" customWidth="1"/>
    <col min="6" max="6" width="10.57421875" style="1" bestFit="1" customWidth="1"/>
    <col min="7" max="11" width="10.7109375" style="1" bestFit="1" customWidth="1"/>
    <col min="12" max="16384" width="9.140625" style="1" customWidth="1"/>
  </cols>
  <sheetData>
    <row r="1" ht="13.5" thickBot="1"/>
    <row r="2" spans="1:11" s="38" customFormat="1" ht="12.75">
      <c r="A2" s="695" t="s">
        <v>87</v>
      </c>
      <c r="B2" s="746" t="s">
        <v>88</v>
      </c>
      <c r="C2" s="741" t="s">
        <v>288</v>
      </c>
      <c r="D2" s="742"/>
      <c r="E2" s="743"/>
      <c r="F2" s="741" t="s">
        <v>289</v>
      </c>
      <c r="G2" s="742"/>
      <c r="H2" s="743"/>
      <c r="I2" s="741" t="s">
        <v>290</v>
      </c>
      <c r="J2" s="742"/>
      <c r="K2" s="745"/>
    </row>
    <row r="3" spans="1:11" s="38" customFormat="1" ht="12.75" customHeight="1" thickBot="1">
      <c r="A3" s="744"/>
      <c r="B3" s="747"/>
      <c r="C3" s="668" t="s">
        <v>218</v>
      </c>
      <c r="D3" s="668" t="s">
        <v>219</v>
      </c>
      <c r="E3" s="668" t="s">
        <v>199</v>
      </c>
      <c r="F3" s="668" t="s">
        <v>218</v>
      </c>
      <c r="G3" s="668" t="s">
        <v>219</v>
      </c>
      <c r="H3" s="668" t="s">
        <v>199</v>
      </c>
      <c r="I3" s="668" t="s">
        <v>218</v>
      </c>
      <c r="J3" s="668" t="s">
        <v>219</v>
      </c>
      <c r="K3" s="669" t="s">
        <v>199</v>
      </c>
    </row>
    <row r="4" spans="1:11" ht="12.75">
      <c r="A4" s="291">
        <v>1</v>
      </c>
      <c r="B4" s="199" t="s">
        <v>534</v>
      </c>
      <c r="C4" s="670"/>
      <c r="D4" s="666">
        <v>457000</v>
      </c>
      <c r="E4" s="666">
        <f>SUM(C4:D4)</f>
        <v>457000</v>
      </c>
      <c r="F4" s="666"/>
      <c r="G4" s="666">
        <v>450500</v>
      </c>
      <c r="H4" s="666">
        <f>SUM(F4:G4)</f>
        <v>450500</v>
      </c>
      <c r="I4" s="666">
        <v>145000</v>
      </c>
      <c r="J4" s="666">
        <v>413000</v>
      </c>
      <c r="K4" s="667">
        <f>SUM(I4:J4)</f>
        <v>558000</v>
      </c>
    </row>
    <row r="5" spans="1:11" ht="12.75">
      <c r="A5" s="47"/>
      <c r="B5" s="2"/>
      <c r="C5" s="35"/>
      <c r="D5" s="40"/>
      <c r="E5" s="35"/>
      <c r="F5" s="35"/>
      <c r="G5" s="35"/>
      <c r="H5" s="35"/>
      <c r="I5" s="35"/>
      <c r="J5" s="35"/>
      <c r="K5" s="267"/>
    </row>
    <row r="6" spans="1:11" s="191" customFormat="1" ht="14.25" thickBot="1">
      <c r="A6" s="268"/>
      <c r="B6" s="269" t="s">
        <v>199</v>
      </c>
      <c r="C6" s="270">
        <f>SUM(C5:C5)</f>
        <v>0</v>
      </c>
      <c r="D6" s="270">
        <f>SUM(D4:D5)</f>
        <v>457000</v>
      </c>
      <c r="E6" s="270">
        <f aca="true" t="shared" si="0" ref="E6:K6">SUM(E4:E5)</f>
        <v>457000</v>
      </c>
      <c r="F6" s="270">
        <f t="shared" si="0"/>
        <v>0</v>
      </c>
      <c r="G6" s="270">
        <f t="shared" si="0"/>
        <v>450500</v>
      </c>
      <c r="H6" s="270">
        <f t="shared" si="0"/>
        <v>450500</v>
      </c>
      <c r="I6" s="270">
        <f t="shared" si="0"/>
        <v>145000</v>
      </c>
      <c r="J6" s="270">
        <f t="shared" si="0"/>
        <v>413000</v>
      </c>
      <c r="K6" s="665">
        <f t="shared" si="0"/>
        <v>558000</v>
      </c>
    </row>
    <row r="9" ht="13.5" thickBot="1"/>
    <row r="10" spans="1:11" ht="12.75">
      <c r="A10" s="695" t="s">
        <v>87</v>
      </c>
      <c r="B10" s="746" t="s">
        <v>88</v>
      </c>
      <c r="C10" s="741" t="s">
        <v>291</v>
      </c>
      <c r="D10" s="742"/>
      <c r="E10" s="743"/>
      <c r="F10" s="741" t="s">
        <v>535</v>
      </c>
      <c r="G10" s="742"/>
      <c r="H10" s="743"/>
      <c r="I10" s="741" t="s">
        <v>536</v>
      </c>
      <c r="J10" s="742"/>
      <c r="K10" s="745"/>
    </row>
    <row r="11" spans="1:11" ht="13.5" thickBot="1">
      <c r="A11" s="744"/>
      <c r="B11" s="747"/>
      <c r="C11" s="668" t="s">
        <v>218</v>
      </c>
      <c r="D11" s="668" t="s">
        <v>219</v>
      </c>
      <c r="E11" s="668" t="s">
        <v>199</v>
      </c>
      <c r="F11" s="668" t="s">
        <v>218</v>
      </c>
      <c r="G11" s="668" t="s">
        <v>219</v>
      </c>
      <c r="H11" s="668" t="s">
        <v>199</v>
      </c>
      <c r="I11" s="668" t="s">
        <v>218</v>
      </c>
      <c r="J11" s="668" t="s">
        <v>219</v>
      </c>
      <c r="K11" s="669" t="s">
        <v>199</v>
      </c>
    </row>
    <row r="12" spans="1:11" ht="12.75">
      <c r="A12" s="291">
        <v>1</v>
      </c>
      <c r="B12" s="199" t="s">
        <v>534</v>
      </c>
      <c r="C12" s="666">
        <v>290000</v>
      </c>
      <c r="D12" s="666">
        <v>388000</v>
      </c>
      <c r="E12" s="666">
        <f>SUM(C12:D12)</f>
        <v>678000</v>
      </c>
      <c r="F12" s="666">
        <v>290000</v>
      </c>
      <c r="G12" s="666">
        <v>375500</v>
      </c>
      <c r="H12" s="666">
        <f>SUM(F12:G12)</f>
        <v>665500</v>
      </c>
      <c r="I12" s="666">
        <v>215000</v>
      </c>
      <c r="J12" s="666">
        <v>375500</v>
      </c>
      <c r="K12" s="667">
        <f>SUM(I12:J12)</f>
        <v>590500</v>
      </c>
    </row>
    <row r="13" spans="1:11" ht="12.75">
      <c r="A13" s="47"/>
      <c r="B13" s="2"/>
      <c r="C13" s="35"/>
      <c r="D13" s="35"/>
      <c r="E13" s="35"/>
      <c r="F13" s="35"/>
      <c r="G13" s="35"/>
      <c r="H13" s="35"/>
      <c r="I13" s="35"/>
      <c r="J13" s="35"/>
      <c r="K13" s="267"/>
    </row>
    <row r="14" spans="1:11" ht="14.25" thickBot="1">
      <c r="A14" s="268"/>
      <c r="B14" s="269" t="s">
        <v>199</v>
      </c>
      <c r="C14" s="270">
        <f aca="true" t="shared" si="1" ref="C14:K14">SUM(C12:C13)</f>
        <v>290000</v>
      </c>
      <c r="D14" s="270">
        <f t="shared" si="1"/>
        <v>388000</v>
      </c>
      <c r="E14" s="270">
        <f t="shared" si="1"/>
        <v>678000</v>
      </c>
      <c r="F14" s="270">
        <f t="shared" si="1"/>
        <v>290000</v>
      </c>
      <c r="G14" s="270">
        <f t="shared" si="1"/>
        <v>375500</v>
      </c>
      <c r="H14" s="270">
        <f t="shared" si="1"/>
        <v>665500</v>
      </c>
      <c r="I14" s="270">
        <f t="shared" si="1"/>
        <v>215000</v>
      </c>
      <c r="J14" s="270">
        <f t="shared" si="1"/>
        <v>375500</v>
      </c>
      <c r="K14" s="665">
        <f t="shared" si="1"/>
        <v>590500</v>
      </c>
    </row>
  </sheetData>
  <sheetProtection/>
  <mergeCells count="10">
    <mergeCell ref="F2:H2"/>
    <mergeCell ref="A2:A3"/>
    <mergeCell ref="I2:K2"/>
    <mergeCell ref="B2:B3"/>
    <mergeCell ref="C2:E2"/>
    <mergeCell ref="C10:E10"/>
    <mergeCell ref="F10:H10"/>
    <mergeCell ref="I10:K10"/>
    <mergeCell ref="A10:A11"/>
    <mergeCell ref="B10:B11"/>
  </mergeCells>
  <printOptions horizontalCentered="1" verticalCentered="1"/>
  <pageMargins left="0.31496062992125984" right="0.5905511811023623" top="1.4960629921259843" bottom="0.984251968503937" header="0.5118110236220472" footer="0.5118110236220472"/>
  <pageSetup horizontalDpi="300" verticalDpi="300" orientation="landscape" paperSize="9" r:id="rId2"/>
  <headerFooter alignWithMargins="0">
    <oddHeader>&amp;C&amp;"Times New Roman,Félkövér"A 9/2012. (II. 24.) önkormányzati rendelethez a Budapest Főváros IV. kerület Újpest Önkormányzat többéves kihatással járó és befejezetlen beruházásairól&amp;R
&amp;"Times New Roman,Normál"8. sz. melléklet
eFt-ban</oddHeader>
    <oddFooter>&amp;C&amp;"Times New Roman,Normál"&amp;P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5">
      <selection activeCell="A28" sqref="A28"/>
    </sheetView>
  </sheetViews>
  <sheetFormatPr defaultColWidth="9.140625" defaultRowHeight="12.75"/>
  <cols>
    <col min="1" max="1" width="123.57421875" style="586" customWidth="1"/>
    <col min="2" max="16384" width="9.140625" style="586" customWidth="1"/>
  </cols>
  <sheetData>
    <row r="1" ht="15" customHeight="1">
      <c r="A1" s="561" t="s">
        <v>495</v>
      </c>
    </row>
    <row r="2" spans="1:5" s="660" customFormat="1" ht="15" customHeight="1">
      <c r="A2" s="560"/>
      <c r="B2" s="586"/>
      <c r="C2" s="586"/>
      <c r="D2" s="586"/>
      <c r="E2" s="586"/>
    </row>
    <row r="3" ht="30" customHeight="1">
      <c r="A3" s="562" t="s">
        <v>257</v>
      </c>
    </row>
    <row r="4" ht="15" customHeight="1">
      <c r="A4" s="563"/>
    </row>
    <row r="5" spans="1:5" s="661" customFormat="1" ht="60" customHeight="1">
      <c r="A5" s="561" t="s">
        <v>572</v>
      </c>
      <c r="B5" s="586"/>
      <c r="C5" s="586"/>
      <c r="D5" s="586"/>
      <c r="E5" s="586"/>
    </row>
    <row r="6" spans="1:5" s="660" customFormat="1" ht="15" customHeight="1">
      <c r="A6" s="561" t="s">
        <v>507</v>
      </c>
      <c r="B6" s="586"/>
      <c r="C6" s="586"/>
      <c r="D6" s="586"/>
      <c r="E6" s="586"/>
    </row>
    <row r="7" ht="15" customHeight="1">
      <c r="A7" s="561" t="s">
        <v>508</v>
      </c>
    </row>
    <row r="8" ht="15" customHeight="1">
      <c r="A8" s="561" t="s">
        <v>509</v>
      </c>
    </row>
    <row r="9" ht="31.5" customHeight="1">
      <c r="A9" s="561" t="s">
        <v>258</v>
      </c>
    </row>
    <row r="10" spans="1:5" s="661" customFormat="1" ht="15" customHeight="1">
      <c r="A10" s="560"/>
      <c r="B10" s="586"/>
      <c r="C10" s="586"/>
      <c r="D10" s="586"/>
      <c r="E10" s="586"/>
    </row>
    <row r="11" spans="1:5" s="660" customFormat="1" ht="30" customHeight="1">
      <c r="A11" s="562" t="s">
        <v>259</v>
      </c>
      <c r="B11" s="586"/>
      <c r="C11" s="586"/>
      <c r="D11" s="586"/>
      <c r="E11" s="586"/>
    </row>
    <row r="12" ht="15" customHeight="1">
      <c r="A12" s="563"/>
    </row>
    <row r="13" ht="15" customHeight="1">
      <c r="A13" s="561" t="s">
        <v>496</v>
      </c>
    </row>
    <row r="14" ht="60" customHeight="1">
      <c r="A14" s="561" t="s">
        <v>497</v>
      </c>
    </row>
    <row r="15" ht="15" customHeight="1">
      <c r="A15" s="561"/>
    </row>
    <row r="16" ht="45" customHeight="1">
      <c r="A16" s="561" t="s">
        <v>506</v>
      </c>
    </row>
    <row r="17" ht="15" customHeight="1">
      <c r="A17" s="662" t="s">
        <v>459</v>
      </c>
    </row>
    <row r="18" ht="15" customHeight="1">
      <c r="A18" s="561" t="s">
        <v>498</v>
      </c>
    </row>
    <row r="19" spans="1:5" s="663" customFormat="1" ht="30.75" customHeight="1">
      <c r="A19" s="662" t="s">
        <v>499</v>
      </c>
      <c r="B19" s="586"/>
      <c r="C19" s="586"/>
      <c r="D19" s="586"/>
      <c r="E19" s="586"/>
    </row>
    <row r="20" spans="1:5" s="660" customFormat="1" ht="15" customHeight="1">
      <c r="A20" s="561" t="s">
        <v>510</v>
      </c>
      <c r="B20" s="586"/>
      <c r="C20" s="586"/>
      <c r="D20" s="586"/>
      <c r="E20" s="586"/>
    </row>
    <row r="21" spans="1:5" s="663" customFormat="1" ht="48.75" customHeight="1">
      <c r="A21" s="561" t="s">
        <v>573</v>
      </c>
      <c r="B21" s="586"/>
      <c r="C21" s="586"/>
      <c r="D21" s="586"/>
      <c r="E21" s="586"/>
    </row>
    <row r="22" ht="15" customHeight="1">
      <c r="A22" s="561"/>
    </row>
    <row r="23" ht="15" customHeight="1">
      <c r="A23" s="560" t="s">
        <v>260</v>
      </c>
    </row>
    <row r="24" spans="1:2" ht="15" customHeight="1">
      <c r="A24" s="561" t="s">
        <v>548</v>
      </c>
      <c r="B24" s="561"/>
    </row>
    <row r="25" spans="1:5" s="661" customFormat="1" ht="15" customHeight="1">
      <c r="A25" s="561" t="s">
        <v>500</v>
      </c>
      <c r="B25" s="586"/>
      <c r="C25" s="586"/>
      <c r="D25" s="586"/>
      <c r="E25" s="586"/>
    </row>
    <row r="26" spans="1:5" s="660" customFormat="1" ht="14.25" customHeight="1">
      <c r="A26" s="561"/>
      <c r="B26" s="586"/>
      <c r="C26" s="586"/>
      <c r="D26" s="586"/>
      <c r="E26" s="586"/>
    </row>
    <row r="27" ht="15" customHeight="1">
      <c r="A27" s="561" t="s">
        <v>501</v>
      </c>
    </row>
    <row r="28" spans="1:5" ht="15" customHeight="1">
      <c r="A28" s="561" t="s">
        <v>549</v>
      </c>
      <c r="C28" s="561"/>
      <c r="E28" s="561"/>
    </row>
    <row r="29" spans="1:3" ht="15" customHeight="1">
      <c r="A29" s="561" t="s">
        <v>552</v>
      </c>
      <c r="C29" s="561"/>
    </row>
    <row r="30" ht="15" customHeight="1">
      <c r="A30" s="561"/>
    </row>
    <row r="31" ht="15" customHeight="1">
      <c r="A31" s="561" t="s">
        <v>550</v>
      </c>
    </row>
    <row r="32" spans="1:5" s="663" customFormat="1" ht="12.75" customHeight="1">
      <c r="A32" s="561" t="s">
        <v>551</v>
      </c>
      <c r="B32" s="561"/>
      <c r="C32" s="586"/>
      <c r="D32" s="586"/>
      <c r="E32" s="586"/>
    </row>
    <row r="33" spans="1:5" s="660" customFormat="1" ht="15" customHeight="1">
      <c r="A33" s="561" t="s">
        <v>553</v>
      </c>
      <c r="B33" s="586"/>
      <c r="C33" s="586"/>
      <c r="D33" s="586"/>
      <c r="E33" s="586"/>
    </row>
    <row r="34" ht="12.75" customHeight="1">
      <c r="A34" s="561"/>
    </row>
    <row r="35" ht="15" customHeight="1">
      <c r="A35" s="560" t="s">
        <v>261</v>
      </c>
    </row>
    <row r="36" spans="1:5" s="660" customFormat="1" ht="15.75" customHeight="1">
      <c r="A36" s="561" t="s">
        <v>556</v>
      </c>
      <c r="B36" s="561"/>
      <c r="C36" s="586"/>
      <c r="D36" s="586"/>
      <c r="E36" s="586"/>
    </row>
    <row r="37" spans="1:5" s="664" customFormat="1" ht="15" customHeight="1">
      <c r="A37" s="561" t="s">
        <v>554</v>
      </c>
      <c r="B37" s="561"/>
      <c r="C37" s="586"/>
      <c r="D37" s="586"/>
      <c r="E37" s="586"/>
    </row>
    <row r="38" spans="1:5" s="664" customFormat="1" ht="15" customHeight="1">
      <c r="A38" s="561"/>
      <c r="B38" s="586"/>
      <c r="C38" s="586"/>
      <c r="D38" s="586"/>
      <c r="E38" s="586"/>
    </row>
    <row r="39" spans="1:2" ht="15" customHeight="1">
      <c r="A39" s="561" t="s">
        <v>555</v>
      </c>
      <c r="B39" s="561"/>
    </row>
    <row r="40" spans="1:2" ht="15.75" customHeight="1">
      <c r="A40" s="561" t="s">
        <v>557</v>
      </c>
      <c r="B40" s="561"/>
    </row>
    <row r="41" ht="15" customHeight="1">
      <c r="A41" s="561"/>
    </row>
    <row r="42" ht="15.75">
      <c r="A42" s="561" t="s">
        <v>502</v>
      </c>
    </row>
    <row r="43" ht="15.75" customHeight="1">
      <c r="A43" s="560"/>
    </row>
    <row r="44" ht="15" customHeight="1">
      <c r="A44" s="560" t="s">
        <v>220</v>
      </c>
    </row>
    <row r="45" ht="15" customHeight="1">
      <c r="A45" s="561"/>
    </row>
    <row r="46" ht="15.75" customHeight="1">
      <c r="A46" s="561" t="s">
        <v>559</v>
      </c>
    </row>
    <row r="47" spans="1:2" ht="15.75" customHeight="1">
      <c r="A47" s="561" t="s">
        <v>558</v>
      </c>
      <c r="B47" s="561"/>
    </row>
    <row r="48" ht="15.75" customHeight="1">
      <c r="A48" s="561"/>
    </row>
    <row r="49" ht="15.75" customHeight="1">
      <c r="A49" s="561" t="s">
        <v>503</v>
      </c>
    </row>
    <row r="50" spans="1:2" ht="17.25" customHeight="1">
      <c r="A50" s="656" t="s">
        <v>560</v>
      </c>
      <c r="B50" s="561" t="s">
        <v>564</v>
      </c>
    </row>
    <row r="51" ht="15" customHeight="1">
      <c r="A51" s="561"/>
    </row>
    <row r="52" ht="30" customHeight="1">
      <c r="A52" s="561" t="s">
        <v>504</v>
      </c>
    </row>
    <row r="53" ht="15" customHeight="1">
      <c r="A53" s="564"/>
    </row>
    <row r="54" ht="48.75" customHeight="1">
      <c r="A54" s="662" t="s">
        <v>505</v>
      </c>
    </row>
    <row r="55" ht="32.25" customHeight="1">
      <c r="A55" s="560"/>
    </row>
    <row r="56" ht="44.25" customHeight="1">
      <c r="A56" s="662"/>
    </row>
    <row r="57" ht="15.75">
      <c r="A57" s="564"/>
    </row>
  </sheetData>
  <sheetProtection/>
  <hyperlinks>
    <hyperlink ref="A17" location="_ftn1" display="_ftn1"/>
    <hyperlink ref="A19" location="_ftn2" display="_ftn2"/>
    <hyperlink ref="A54" location="_ftnref1" display="_ftnref1"/>
    <hyperlink ref="A56" location="_ftnref2" display="_ftnref2"/>
  </hyperlinks>
  <printOptions horizontalCentered="1" verticalCentered="1"/>
  <pageMargins left="1.1811023622047245" right="1.1811023622047245" top="0.984251968503937" bottom="0.984251968503937" header="0.5118110236220472" footer="0.5118110236220472"/>
  <pageSetup horizontalDpi="300" verticalDpi="300" orientation="portrait" paperSize="9" scale="81" r:id="rId1"/>
  <headerFooter alignWithMargins="0">
    <oddHeader xml:space="preserve">&amp;C&amp;"Times New Roman,Félkövér"A 9/2012. (II. 24.) Önkormányzati rendelethez a Budapest Főváros IV. kerület Újpest Önkormányzata által nyújtott közvetett támogatásokról &amp;R
&amp;"Times New Roman,Normál"
 9. sz. melléklet&amp;"Arial,Normál" </oddHeader>
    <oddFooter>&amp;C&amp;"Times New Roman,Normál"&amp;P</oddFooter>
  </headerFooter>
  <rowBreaks count="1" manualBreakCount="1">
    <brk id="2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9.140625" style="1" customWidth="1"/>
    <col min="2" max="2" width="22.28125" style="1" bestFit="1" customWidth="1"/>
    <col min="3" max="3" width="11.8515625" style="1" bestFit="1" customWidth="1"/>
    <col min="4" max="8" width="9.140625" style="1" customWidth="1"/>
    <col min="9" max="9" width="11.421875" style="1" bestFit="1" customWidth="1"/>
    <col min="10" max="16384" width="9.140625" style="1" customWidth="1"/>
  </cols>
  <sheetData>
    <row r="1" spans="1:9" s="87" customFormat="1" ht="12.75" customHeight="1">
      <c r="A1" s="751" t="s">
        <v>87</v>
      </c>
      <c r="B1" s="748" t="s">
        <v>88</v>
      </c>
      <c r="C1" s="748" t="s">
        <v>454</v>
      </c>
      <c r="D1" s="748"/>
      <c r="E1" s="748"/>
      <c r="F1" s="748"/>
      <c r="G1" s="748"/>
      <c r="H1" s="748"/>
      <c r="I1" s="749" t="s">
        <v>199</v>
      </c>
    </row>
    <row r="2" spans="1:9" s="87" customFormat="1" ht="13.5" thickBot="1">
      <c r="A2" s="752"/>
      <c r="B2" s="753"/>
      <c r="C2" s="632" t="s">
        <v>288</v>
      </c>
      <c r="D2" s="633" t="s">
        <v>289</v>
      </c>
      <c r="E2" s="633" t="s">
        <v>290</v>
      </c>
      <c r="F2" s="633" t="s">
        <v>291</v>
      </c>
      <c r="G2" s="633" t="s">
        <v>292</v>
      </c>
      <c r="H2" s="633" t="s">
        <v>293</v>
      </c>
      <c r="I2" s="750"/>
    </row>
    <row r="3" spans="1:9" s="87" customFormat="1" ht="12.75">
      <c r="A3" s="634" t="s">
        <v>38</v>
      </c>
      <c r="B3" s="635" t="s">
        <v>338</v>
      </c>
      <c r="C3" s="635"/>
      <c r="D3" s="635"/>
      <c r="E3" s="635"/>
      <c r="F3" s="635"/>
      <c r="G3" s="635"/>
      <c r="H3" s="635"/>
      <c r="I3" s="636"/>
    </row>
    <row r="4" spans="1:9" s="87" customFormat="1" ht="12.75">
      <c r="A4" s="593"/>
      <c r="B4" s="2" t="s">
        <v>339</v>
      </c>
      <c r="C4" s="644"/>
      <c r="D4" s="644"/>
      <c r="E4" s="644"/>
      <c r="F4" s="644"/>
      <c r="G4" s="644"/>
      <c r="H4" s="644"/>
      <c r="I4" s="647"/>
    </row>
    <row r="5" spans="1:9" ht="12.75">
      <c r="A5" s="243"/>
      <c r="B5" s="2" t="s">
        <v>537</v>
      </c>
      <c r="C5" s="628">
        <v>327853</v>
      </c>
      <c r="D5" s="2"/>
      <c r="E5" s="2"/>
      <c r="F5" s="2"/>
      <c r="G5" s="2"/>
      <c r="H5" s="2"/>
      <c r="I5" s="630">
        <f>SUM(C5:H5)</f>
        <v>327853</v>
      </c>
    </row>
    <row r="6" spans="1:9" s="87" customFormat="1" ht="12.75">
      <c r="A6" s="152"/>
      <c r="B6" s="15" t="s">
        <v>340</v>
      </c>
      <c r="C6" s="631">
        <f aca="true" t="shared" si="0" ref="C6:I6">SUM(C5:C5)</f>
        <v>327853</v>
      </c>
      <c r="D6" s="631">
        <f t="shared" si="0"/>
        <v>0</v>
      </c>
      <c r="E6" s="631">
        <f t="shared" si="0"/>
        <v>0</v>
      </c>
      <c r="F6" s="631">
        <f t="shared" si="0"/>
        <v>0</v>
      </c>
      <c r="G6" s="631">
        <f t="shared" si="0"/>
        <v>0</v>
      </c>
      <c r="H6" s="631">
        <f t="shared" si="0"/>
        <v>0</v>
      </c>
      <c r="I6" s="637">
        <f t="shared" si="0"/>
        <v>327853</v>
      </c>
    </row>
    <row r="7" spans="1:9" ht="12.75">
      <c r="A7" s="243"/>
      <c r="B7" s="2" t="s">
        <v>341</v>
      </c>
      <c r="C7" s="2"/>
      <c r="D7" s="2"/>
      <c r="E7" s="2"/>
      <c r="F7" s="2"/>
      <c r="G7" s="2"/>
      <c r="H7" s="2"/>
      <c r="I7" s="377"/>
    </row>
    <row r="8" spans="1:9" ht="12.75">
      <c r="A8" s="243"/>
      <c r="B8" s="2" t="s">
        <v>538</v>
      </c>
      <c r="C8" s="628">
        <v>327853</v>
      </c>
      <c r="D8" s="2"/>
      <c r="E8" s="2"/>
      <c r="F8" s="2"/>
      <c r="G8" s="2"/>
      <c r="H8" s="2"/>
      <c r="I8" s="630">
        <f>SUM(C8:H8)</f>
        <v>327853</v>
      </c>
    </row>
    <row r="9" spans="1:9" s="87" customFormat="1" ht="13.5" thickBot="1">
      <c r="A9" s="638"/>
      <c r="B9" s="639" t="s">
        <v>342</v>
      </c>
      <c r="C9" s="640">
        <f aca="true" t="shared" si="1" ref="C9:I9">SUM(C8:C8)</f>
        <v>327853</v>
      </c>
      <c r="D9" s="640">
        <f t="shared" si="1"/>
        <v>0</v>
      </c>
      <c r="E9" s="640">
        <f t="shared" si="1"/>
        <v>0</v>
      </c>
      <c r="F9" s="640">
        <f t="shared" si="1"/>
        <v>0</v>
      </c>
      <c r="G9" s="640">
        <f t="shared" si="1"/>
        <v>0</v>
      </c>
      <c r="H9" s="640">
        <f t="shared" si="1"/>
        <v>0</v>
      </c>
      <c r="I9" s="641">
        <f t="shared" si="1"/>
        <v>327853</v>
      </c>
    </row>
    <row r="10" spans="1:9" ht="12.75">
      <c r="A10" s="634" t="s">
        <v>43</v>
      </c>
      <c r="B10" s="635" t="s">
        <v>338</v>
      </c>
      <c r="C10" s="642"/>
      <c r="D10" s="642"/>
      <c r="E10" s="642"/>
      <c r="F10" s="642"/>
      <c r="G10" s="642"/>
      <c r="H10" s="642"/>
      <c r="I10" s="643"/>
    </row>
    <row r="11" spans="1:9" ht="12.75">
      <c r="A11" s="243"/>
      <c r="B11" s="2" t="s">
        <v>339</v>
      </c>
      <c r="C11" s="2"/>
      <c r="D11" s="2"/>
      <c r="E11" s="2"/>
      <c r="F11" s="2"/>
      <c r="G11" s="2"/>
      <c r="H11" s="2"/>
      <c r="I11" s="377"/>
    </row>
    <row r="12" spans="1:9" ht="25.5">
      <c r="A12" s="243"/>
      <c r="B12" s="7" t="s">
        <v>539</v>
      </c>
      <c r="C12" s="628">
        <v>20360</v>
      </c>
      <c r="D12" s="628"/>
      <c r="E12" s="628"/>
      <c r="F12" s="628"/>
      <c r="G12" s="628"/>
      <c r="H12" s="628"/>
      <c r="I12" s="629">
        <f>SUM(C12:H12)</f>
        <v>20360</v>
      </c>
    </row>
    <row r="13" spans="1:9" ht="25.5">
      <c r="A13" s="243"/>
      <c r="B13" s="7" t="s">
        <v>540</v>
      </c>
      <c r="C13" s="628">
        <v>58963</v>
      </c>
      <c r="D13" s="628"/>
      <c r="E13" s="628"/>
      <c r="F13" s="628"/>
      <c r="G13" s="628"/>
      <c r="H13" s="628"/>
      <c r="I13" s="629">
        <f>SUM(C13:H13)</f>
        <v>58963</v>
      </c>
    </row>
    <row r="14" spans="1:9" ht="12.75">
      <c r="A14" s="152"/>
      <c r="B14" s="15" t="s">
        <v>340</v>
      </c>
      <c r="C14" s="631">
        <f>SUM(C12:C13)</f>
        <v>79323</v>
      </c>
      <c r="D14" s="631"/>
      <c r="E14" s="631"/>
      <c r="F14" s="631"/>
      <c r="G14" s="631"/>
      <c r="H14" s="631"/>
      <c r="I14" s="637">
        <f>SUM(I12:I13)</f>
        <v>79323</v>
      </c>
    </row>
    <row r="15" spans="1:9" ht="13.5" thickBot="1">
      <c r="A15" s="244"/>
      <c r="B15" s="645" t="s">
        <v>341</v>
      </c>
      <c r="C15" s="645"/>
      <c r="D15" s="645"/>
      <c r="E15" s="645"/>
      <c r="F15" s="645"/>
      <c r="G15" s="645"/>
      <c r="H15" s="645"/>
      <c r="I15" s="646"/>
    </row>
    <row r="16" spans="1:9" ht="12.75">
      <c r="A16" s="634" t="s">
        <v>45</v>
      </c>
      <c r="B16" s="635" t="s">
        <v>338</v>
      </c>
      <c r="C16" s="642"/>
      <c r="D16" s="642"/>
      <c r="E16" s="642"/>
      <c r="F16" s="642"/>
      <c r="G16" s="642"/>
      <c r="H16" s="642"/>
      <c r="I16" s="643"/>
    </row>
    <row r="17" spans="1:9" ht="12.75">
      <c r="A17" s="243"/>
      <c r="B17" s="2" t="s">
        <v>339</v>
      </c>
      <c r="C17" s="2"/>
      <c r="D17" s="2"/>
      <c r="E17" s="2"/>
      <c r="F17" s="2"/>
      <c r="G17" s="2"/>
      <c r="H17" s="2"/>
      <c r="I17" s="377"/>
    </row>
    <row r="18" spans="1:9" ht="12.75">
      <c r="A18" s="243"/>
      <c r="B18" s="2" t="s">
        <v>541</v>
      </c>
      <c r="C18" s="628">
        <v>20902</v>
      </c>
      <c r="D18" s="628"/>
      <c r="E18" s="628"/>
      <c r="F18" s="628"/>
      <c r="G18" s="628"/>
      <c r="H18" s="628"/>
      <c r="I18" s="629">
        <f>SUM(C18:H18)</f>
        <v>20902</v>
      </c>
    </row>
    <row r="19" spans="1:9" ht="12.75">
      <c r="A19" s="243"/>
      <c r="B19" s="15" t="s">
        <v>340</v>
      </c>
      <c r="C19" s="631">
        <f>SUM(C18:C18)</f>
        <v>20902</v>
      </c>
      <c r="D19" s="631"/>
      <c r="E19" s="631"/>
      <c r="F19" s="631"/>
      <c r="G19" s="631"/>
      <c r="H19" s="631"/>
      <c r="I19" s="637">
        <f>SUM(I18:I18)</f>
        <v>20902</v>
      </c>
    </row>
    <row r="20" spans="1:9" ht="12.75">
      <c r="A20" s="243"/>
      <c r="B20" s="2" t="s">
        <v>341</v>
      </c>
      <c r="C20" s="2"/>
      <c r="D20" s="2"/>
      <c r="E20" s="2"/>
      <c r="F20" s="2"/>
      <c r="G20" s="2"/>
      <c r="H20" s="2"/>
      <c r="I20" s="377"/>
    </row>
    <row r="21" spans="1:9" ht="25.5">
      <c r="A21" s="243"/>
      <c r="B21" s="7" t="s">
        <v>542</v>
      </c>
      <c r="C21" s="628">
        <v>20902</v>
      </c>
      <c r="D21" s="628"/>
      <c r="E21" s="628"/>
      <c r="F21" s="628"/>
      <c r="G21" s="628"/>
      <c r="H21" s="628"/>
      <c r="I21" s="629">
        <f>SUM(C21:H21)</f>
        <v>20902</v>
      </c>
    </row>
    <row r="22" spans="1:9" ht="13.5" thickBot="1">
      <c r="A22" s="648"/>
      <c r="B22" s="640" t="s">
        <v>342</v>
      </c>
      <c r="C22" s="640">
        <f>SUM(C21)</f>
        <v>20902</v>
      </c>
      <c r="D22" s="640"/>
      <c r="E22" s="640"/>
      <c r="F22" s="640"/>
      <c r="G22" s="640"/>
      <c r="H22" s="640"/>
      <c r="I22" s="641">
        <f>SUM(I21)</f>
        <v>20902</v>
      </c>
    </row>
    <row r="23" spans="1:9" s="191" customFormat="1" ht="13.5">
      <c r="A23" s="651"/>
      <c r="B23" s="652" t="s">
        <v>343</v>
      </c>
      <c r="C23" s="652"/>
      <c r="D23" s="652"/>
      <c r="E23" s="652"/>
      <c r="F23" s="652"/>
      <c r="G23" s="652"/>
      <c r="H23" s="652"/>
      <c r="I23" s="653"/>
    </row>
    <row r="24" spans="1:9" s="191" customFormat="1" ht="13.5">
      <c r="A24" s="378"/>
      <c r="B24" s="13" t="s">
        <v>344</v>
      </c>
      <c r="C24" s="649">
        <f>SUM(C6,C14,C19)</f>
        <v>428078</v>
      </c>
      <c r="D24" s="649">
        <f aca="true" t="shared" si="2" ref="D24:I24">SUM(D6,D14,D19)</f>
        <v>0</v>
      </c>
      <c r="E24" s="649">
        <f t="shared" si="2"/>
        <v>0</v>
      </c>
      <c r="F24" s="649">
        <f t="shared" si="2"/>
        <v>0</v>
      </c>
      <c r="G24" s="649">
        <f t="shared" si="2"/>
        <v>0</v>
      </c>
      <c r="H24" s="649">
        <f t="shared" si="2"/>
        <v>0</v>
      </c>
      <c r="I24" s="654">
        <f t="shared" si="2"/>
        <v>428078</v>
      </c>
    </row>
    <row r="25" spans="1:9" s="191" customFormat="1" ht="14.25" thickBot="1">
      <c r="A25" s="379"/>
      <c r="B25" s="269" t="s">
        <v>345</v>
      </c>
      <c r="C25" s="650">
        <f>SUM(C9,C22)</f>
        <v>348755</v>
      </c>
      <c r="D25" s="650">
        <f aca="true" t="shared" si="3" ref="D25:I25">SUM(D9,D22)</f>
        <v>0</v>
      </c>
      <c r="E25" s="650">
        <f t="shared" si="3"/>
        <v>0</v>
      </c>
      <c r="F25" s="650">
        <f t="shared" si="3"/>
        <v>0</v>
      </c>
      <c r="G25" s="650">
        <f t="shared" si="3"/>
        <v>0</v>
      </c>
      <c r="H25" s="650">
        <f t="shared" si="3"/>
        <v>0</v>
      </c>
      <c r="I25" s="655">
        <f t="shared" si="3"/>
        <v>348755</v>
      </c>
    </row>
  </sheetData>
  <sheetProtection/>
  <mergeCells count="4">
    <mergeCell ref="C1:H1"/>
    <mergeCell ref="I1:I2"/>
    <mergeCell ref="A1:A2"/>
    <mergeCell ref="B1:B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&amp;C&amp;"Times New Roman,Félkövér"A  9/2012. (II.24.) önko. rend.-hez a Bp. Főv. IV. kerület Újpest Önkormányzat által Uniós támogatással megvalósított projekt, ill. projektekhez való hozzájárulások&amp;R
&amp;"Times New Roman,Normál"10. sz. melléklet
eFt-ban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C34">
      <selection activeCell="G42" sqref="G42:J65"/>
    </sheetView>
  </sheetViews>
  <sheetFormatPr defaultColWidth="9.140625" defaultRowHeight="12.75"/>
  <cols>
    <col min="1" max="1" width="11.140625" style="1" customWidth="1"/>
    <col min="2" max="2" width="48.57421875" style="1" customWidth="1"/>
    <col min="3" max="6" width="12.57421875" style="1" customWidth="1"/>
    <col min="7" max="7" width="9.8515625" style="1" bestFit="1" customWidth="1"/>
    <col min="8" max="16384" width="9.140625" style="1" customWidth="1"/>
  </cols>
  <sheetData>
    <row r="1" spans="1:5" ht="12.75">
      <c r="A1" s="695" t="s">
        <v>87</v>
      </c>
      <c r="B1" s="693" t="s">
        <v>88</v>
      </c>
      <c r="C1" s="693" t="s">
        <v>288</v>
      </c>
      <c r="D1" s="693" t="s">
        <v>289</v>
      </c>
      <c r="E1" s="691" t="s">
        <v>290</v>
      </c>
    </row>
    <row r="2" spans="1:5" ht="12.75">
      <c r="A2" s="696"/>
      <c r="B2" s="762"/>
      <c r="C2" s="762"/>
      <c r="D2" s="762"/>
      <c r="E2" s="692"/>
    </row>
    <row r="3" spans="1:5" ht="12.75">
      <c r="A3" s="236" t="s">
        <v>89</v>
      </c>
      <c r="B3" s="117" t="s">
        <v>43</v>
      </c>
      <c r="C3" s="117" t="s">
        <v>45</v>
      </c>
      <c r="D3" s="117" t="s">
        <v>47</v>
      </c>
      <c r="E3" s="237" t="s">
        <v>36</v>
      </c>
    </row>
    <row r="4" spans="1:5" ht="12.75">
      <c r="A4" s="530"/>
      <c r="B4" s="3" t="s">
        <v>90</v>
      </c>
      <c r="C4" s="119"/>
      <c r="D4" s="119"/>
      <c r="E4" s="531"/>
    </row>
    <row r="5" spans="1:5" s="381" customFormat="1" ht="15" customHeight="1">
      <c r="A5" s="532" t="s">
        <v>91</v>
      </c>
      <c r="B5" s="4" t="s">
        <v>92</v>
      </c>
      <c r="C5" s="380"/>
      <c r="D5" s="380"/>
      <c r="E5" s="533"/>
    </row>
    <row r="6" spans="1:5" ht="25.5" customHeight="1">
      <c r="A6" s="44" t="s">
        <v>38</v>
      </c>
      <c r="B6" s="16" t="s">
        <v>14</v>
      </c>
      <c r="C6" s="5">
        <f>'11. a. mell. gördülő működési'!C7</f>
        <v>1429816</v>
      </c>
      <c r="D6" s="5">
        <f>+'11. a. mell. gördülő működési'!D7</f>
        <v>1487009</v>
      </c>
      <c r="E6" s="534">
        <f>+'11. a. mell. gördülő működési'!E7</f>
        <v>1546489</v>
      </c>
    </row>
    <row r="7" spans="1:5" ht="15" customHeight="1">
      <c r="A7" s="44" t="s">
        <v>43</v>
      </c>
      <c r="B7" s="3" t="s">
        <v>346</v>
      </c>
      <c r="C7" s="6">
        <f>'11. a. mell. gördülő működési'!C8</f>
        <v>587830</v>
      </c>
      <c r="D7" s="6">
        <f>+'11. a. mell. gördülő működési'!D8</f>
        <v>611343</v>
      </c>
      <c r="E7" s="535">
        <f>+'11. a. mell. gördülő működési'!E8</f>
        <v>635797</v>
      </c>
    </row>
    <row r="8" spans="1:5" ht="15" customHeight="1">
      <c r="A8" s="46" t="s">
        <v>93</v>
      </c>
      <c r="B8" s="3" t="s">
        <v>94</v>
      </c>
      <c r="C8" s="6">
        <f>SUM(C9:C12)</f>
        <v>9396929</v>
      </c>
      <c r="D8" s="6">
        <f>SUM(D9:D12)</f>
        <v>9671895</v>
      </c>
      <c r="E8" s="6">
        <f>SUM(E9:E12)</f>
        <v>10002125</v>
      </c>
    </row>
    <row r="9" spans="1:5" ht="15" customHeight="1">
      <c r="A9" s="47"/>
      <c r="B9" s="7" t="s">
        <v>282</v>
      </c>
      <c r="C9" s="8">
        <f>'11. a. mell. gördülő működési'!C10</f>
        <v>8284049</v>
      </c>
      <c r="D9" s="8">
        <f>+'11. a. mell. gördülő működési'!D10</f>
        <v>8531193</v>
      </c>
      <c r="E9" s="536">
        <f>+'11. a. mell. gördülő működési'!E10</f>
        <v>8832905</v>
      </c>
    </row>
    <row r="10" spans="1:5" ht="15" customHeight="1">
      <c r="A10" s="47"/>
      <c r="B10" s="9" t="s">
        <v>95</v>
      </c>
      <c r="C10" s="8">
        <f>'11. a. mell. gördülő működési'!C16</f>
        <v>948880</v>
      </c>
      <c r="D10" s="8">
        <f>+'11. a. mell. gördülő működési'!D16</f>
        <v>972602</v>
      </c>
      <c r="E10" s="536">
        <f>+'11. a. mell. gördülő működési'!E16</f>
        <v>996917</v>
      </c>
    </row>
    <row r="11" spans="1:5" ht="15" customHeight="1">
      <c r="A11" s="47"/>
      <c r="B11" s="7" t="s">
        <v>96</v>
      </c>
      <c r="C11" s="8">
        <f>'11. a. mell. gördülő működési'!C20</f>
        <v>75000</v>
      </c>
      <c r="D11" s="8">
        <f>+'11. a. mell. gördülő működési'!D20</f>
        <v>76875</v>
      </c>
      <c r="E11" s="536">
        <f>+'11. a. mell. gördülő működési'!E20</f>
        <v>78797</v>
      </c>
    </row>
    <row r="12" spans="1:5" ht="15" customHeight="1">
      <c r="A12" s="47"/>
      <c r="B12" s="7" t="s">
        <v>511</v>
      </c>
      <c r="C12" s="8">
        <f>'11. a. mell. gördülő működési'!C21</f>
        <v>89000</v>
      </c>
      <c r="D12" s="8">
        <f>'11. a. mell. gördülő működési'!D21</f>
        <v>91225</v>
      </c>
      <c r="E12" s="536">
        <f>'11. a. mell. gördülő működési'!E21</f>
        <v>93506</v>
      </c>
    </row>
    <row r="13" spans="1:5" ht="15" customHeight="1">
      <c r="A13" s="266" t="s">
        <v>97</v>
      </c>
      <c r="B13" s="4" t="s">
        <v>98</v>
      </c>
      <c r="C13" s="6"/>
      <c r="D13" s="6"/>
      <c r="E13" s="45"/>
    </row>
    <row r="14" spans="1:5" ht="15" customHeight="1">
      <c r="A14" s="46" t="s">
        <v>38</v>
      </c>
      <c r="B14" s="3" t="s">
        <v>99</v>
      </c>
      <c r="C14" s="6">
        <f>SUM(C15:C18)</f>
        <v>3496988</v>
      </c>
      <c r="D14" s="6">
        <f>SUM(D15:D18)</f>
        <v>3584413</v>
      </c>
      <c r="E14" s="535">
        <f>SUM(E15:E18)</f>
        <v>3674023</v>
      </c>
    </row>
    <row r="15" spans="1:5" ht="15" customHeight="1">
      <c r="A15" s="47" t="s">
        <v>100</v>
      </c>
      <c r="B15" s="7" t="s">
        <v>155</v>
      </c>
      <c r="C15" s="8">
        <f>'11. a. mell. gördülő működési'!C23</f>
        <v>3200273</v>
      </c>
      <c r="D15" s="8">
        <f>+'11. a. mell. gördülő működési'!D23</f>
        <v>3280280</v>
      </c>
      <c r="E15" s="536">
        <f>+'11. a. mell. gördülő működési'!E23</f>
        <v>3362287</v>
      </c>
    </row>
    <row r="16" spans="1:5" ht="15" customHeight="1">
      <c r="A16" s="47" t="s">
        <v>101</v>
      </c>
      <c r="B16" s="7" t="s">
        <v>102</v>
      </c>
      <c r="C16" s="8">
        <f>'11. a. mell. gördülő működési'!C24</f>
        <v>0</v>
      </c>
      <c r="D16" s="8">
        <f>+'11. a. mell. gördülő működési'!D24</f>
        <v>0</v>
      </c>
      <c r="E16" s="536">
        <f>+'11. a. mell. gördülő működési'!E24</f>
        <v>0</v>
      </c>
    </row>
    <row r="17" spans="1:5" ht="15" customHeight="1">
      <c r="A17" s="47" t="s">
        <v>103</v>
      </c>
      <c r="B17" s="7" t="s">
        <v>156</v>
      </c>
      <c r="C17" s="8">
        <f>'11. a. mell. gördülő működési'!C25</f>
        <v>296715</v>
      </c>
      <c r="D17" s="8">
        <f>+'11. a. mell. gördülő működési'!D25</f>
        <v>304133</v>
      </c>
      <c r="E17" s="536">
        <f>+'11. a. mell. gördülő működési'!E25</f>
        <v>311736</v>
      </c>
    </row>
    <row r="18" spans="1:5" ht="15" customHeight="1">
      <c r="A18" s="47" t="s">
        <v>104</v>
      </c>
      <c r="B18" s="7" t="s">
        <v>347</v>
      </c>
      <c r="C18" s="8">
        <f>+'1.b. Felh. bev. és kiad.'!D11</f>
        <v>0</v>
      </c>
      <c r="D18" s="8"/>
      <c r="E18" s="536"/>
    </row>
    <row r="19" spans="1:5" ht="15" customHeight="1">
      <c r="A19" s="266" t="s">
        <v>105</v>
      </c>
      <c r="B19" s="4" t="s">
        <v>106</v>
      </c>
      <c r="C19" s="6">
        <f>SUM(C20:C22)</f>
        <v>112998</v>
      </c>
      <c r="D19" s="6">
        <f>SUM(D20:D22)</f>
        <v>115823</v>
      </c>
      <c r="E19" s="535">
        <f>SUM(E20:E22)</f>
        <v>118718</v>
      </c>
    </row>
    <row r="20" spans="1:5" ht="16.5" customHeight="1">
      <c r="A20" s="47" t="s">
        <v>38</v>
      </c>
      <c r="B20" s="7" t="s">
        <v>107</v>
      </c>
      <c r="C20" s="8">
        <f>'11. b. gördülő felhalmozási'!C7</f>
        <v>0</v>
      </c>
      <c r="D20" s="8">
        <f>+'11. b. gördülő felhalmozási'!D7</f>
        <v>0</v>
      </c>
      <c r="E20" s="536">
        <f>+'11. b. gördülő felhalmozási'!E7</f>
        <v>0</v>
      </c>
    </row>
    <row r="21" spans="1:5" ht="13.5" customHeight="1">
      <c r="A21" s="47" t="s">
        <v>43</v>
      </c>
      <c r="B21" s="7" t="s">
        <v>108</v>
      </c>
      <c r="C21" s="8">
        <f>'11. b. gördülő felhalmozási'!C8</f>
        <v>107998</v>
      </c>
      <c r="D21" s="8">
        <f>+'11. b. gördülő felhalmozási'!D8</f>
        <v>110698</v>
      </c>
      <c r="E21" s="536">
        <f>+'11. b. gördülő felhalmozási'!E8</f>
        <v>113465</v>
      </c>
    </row>
    <row r="22" spans="1:5" ht="12.75" customHeight="1">
      <c r="A22" s="47" t="s">
        <v>45</v>
      </c>
      <c r="B22" s="7" t="s">
        <v>302</v>
      </c>
      <c r="C22" s="8">
        <f>'11. b. gördülő felhalmozási'!C9</f>
        <v>5000</v>
      </c>
      <c r="D22" s="8">
        <f>+'11. b. gördülő felhalmozási'!D9</f>
        <v>5125</v>
      </c>
      <c r="E22" s="536">
        <f>+'11. b. gördülő felhalmozási'!E9</f>
        <v>5253</v>
      </c>
    </row>
    <row r="23" spans="1:5" ht="27.75" customHeight="1">
      <c r="A23" s="266" t="s">
        <v>157</v>
      </c>
      <c r="B23" s="4" t="s">
        <v>225</v>
      </c>
      <c r="C23" s="184">
        <f>SUM(C24:C27)</f>
        <v>1499408</v>
      </c>
      <c r="D23" s="184">
        <f>SUM(D24:D27)</f>
        <v>1536894</v>
      </c>
      <c r="E23" s="537">
        <f>SUM(E24:E27)</f>
        <v>1579283</v>
      </c>
    </row>
    <row r="24" spans="1:5" ht="15" customHeight="1">
      <c r="A24" s="47" t="s">
        <v>177</v>
      </c>
      <c r="B24" s="7" t="s">
        <v>230</v>
      </c>
      <c r="C24" s="8">
        <f>'11. a. mell. gördülő működési'!C28+'11. a. mell. gördülő működési'!C29</f>
        <v>770502</v>
      </c>
      <c r="D24" s="8">
        <f>+'11. a. mell. gördülő működési'!D28+'11. a. mell. gördülő működési'!D29+'11. b. gördülő felhalmozási'!D14+'11. b. gördülő felhalmozási'!D15</f>
        <v>1272444</v>
      </c>
      <c r="E24" s="536">
        <f>+'11. a. mell. gördülő működési'!E28+'11. a. mell. gördülő működési'!E29+'11. b. gördülő felhalmozási'!E14+'11. b. gördülő felhalmozási'!E15</f>
        <v>1304255</v>
      </c>
    </row>
    <row r="25" spans="1:5" ht="15" customHeight="1">
      <c r="A25" s="47" t="s">
        <v>178</v>
      </c>
      <c r="B25" s="7" t="s">
        <v>176</v>
      </c>
      <c r="C25" s="8">
        <f>'11. a. mell. gördülő működési'!C30</f>
        <v>258000</v>
      </c>
      <c r="D25" s="8">
        <f>+'11. a. mell. gördülő működési'!D30+'11. b. gördülő felhalmozási'!D16</f>
        <v>264450</v>
      </c>
      <c r="E25" s="536">
        <f>+'11. a. mell. gördülő működési'!E30+'11. b. gördülő felhalmozási'!E16</f>
        <v>275028</v>
      </c>
    </row>
    <row r="26" spans="1:5" ht="15" customHeight="1">
      <c r="A26" s="47" t="s">
        <v>179</v>
      </c>
      <c r="B26" s="7" t="s">
        <v>158</v>
      </c>
      <c r="C26" s="8">
        <f>'11. b. gördülő felhalmozási'!C15</f>
        <v>470906</v>
      </c>
      <c r="D26" s="8"/>
      <c r="E26" s="536"/>
    </row>
    <row r="27" spans="1:5" ht="15" customHeight="1">
      <c r="A27" s="47" t="s">
        <v>180</v>
      </c>
      <c r="B27" s="7" t="s">
        <v>176</v>
      </c>
      <c r="C27" s="8">
        <f>+'1.b. Felh. bev. és kiad.'!D16</f>
        <v>0</v>
      </c>
      <c r="D27" s="8"/>
      <c r="E27" s="536"/>
    </row>
    <row r="28" spans="1:5" ht="15" customHeight="1">
      <c r="A28" s="266" t="s">
        <v>159</v>
      </c>
      <c r="B28" s="4" t="s">
        <v>160</v>
      </c>
      <c r="C28" s="6">
        <f>SUM(C29:C30)</f>
        <v>300</v>
      </c>
      <c r="D28" s="6">
        <f>SUM(D29:D30)</f>
        <v>308</v>
      </c>
      <c r="E28" s="535">
        <f>SUM(E29:E30)</f>
        <v>316</v>
      </c>
    </row>
    <row r="29" spans="1:5" ht="15" customHeight="1">
      <c r="A29" s="47" t="s">
        <v>38</v>
      </c>
      <c r="B29" s="7" t="s">
        <v>109</v>
      </c>
      <c r="C29" s="8">
        <f>+'1. a. mell.Műk. bev. és kiad.'!D31</f>
        <v>0</v>
      </c>
      <c r="D29" s="8">
        <f>+'11. a. mell. gördülő működési'!D32</f>
        <v>0</v>
      </c>
      <c r="E29" s="536">
        <f>+'11. a. mell. gördülő működési'!E32</f>
        <v>0</v>
      </c>
    </row>
    <row r="30" spans="1:5" ht="15" customHeight="1">
      <c r="A30" s="47" t="s">
        <v>43</v>
      </c>
      <c r="B30" s="7" t="s">
        <v>110</v>
      </c>
      <c r="C30" s="8">
        <f>+'1.b. Felh. bev. és kiad.'!D17</f>
        <v>300</v>
      </c>
      <c r="D30" s="8">
        <f>+'11. b. gördülő felhalmozási'!D18+'11. b. gördülő felhalmozási'!D19</f>
        <v>308</v>
      </c>
      <c r="E30" s="536">
        <f>+'11. b. gördülő felhalmozási'!E18+'11. b. gördülő felhalmozási'!E19</f>
        <v>316</v>
      </c>
    </row>
    <row r="31" spans="1:5" ht="15" customHeight="1">
      <c r="A31" s="758" t="s">
        <v>112</v>
      </c>
      <c r="B31" s="760" t="s">
        <v>240</v>
      </c>
      <c r="C31" s="756">
        <f>'11. b. gördülő felhalmozási'!C24</f>
        <v>16500</v>
      </c>
      <c r="D31" s="756">
        <f>+'11. a. mell. gördülő működési'!D34+'11. b. gördülő felhalmozási'!D24</f>
        <v>16913</v>
      </c>
      <c r="E31" s="754">
        <f>+'11. a. mell. gördülő működési'!E34+'11. b. gördülő felhalmozási'!E24</f>
        <v>17336</v>
      </c>
    </row>
    <row r="32" spans="1:5" ht="15" customHeight="1">
      <c r="A32" s="759"/>
      <c r="B32" s="761"/>
      <c r="C32" s="757"/>
      <c r="D32" s="757"/>
      <c r="E32" s="755"/>
    </row>
    <row r="33" spans="1:5" ht="15" customHeight="1">
      <c r="A33" s="266" t="s">
        <v>117</v>
      </c>
      <c r="B33" s="10" t="s">
        <v>113</v>
      </c>
      <c r="C33" s="184">
        <f>SUM(C34:C36)</f>
        <v>0</v>
      </c>
      <c r="D33" s="184">
        <f>SUM(D34:D36)</f>
        <v>0</v>
      </c>
      <c r="E33" s="537">
        <f>SUM(E34:E36)</f>
        <v>0</v>
      </c>
    </row>
    <row r="34" spans="1:5" ht="15" customHeight="1">
      <c r="A34" s="47" t="s">
        <v>38</v>
      </c>
      <c r="B34" s="9" t="s">
        <v>114</v>
      </c>
      <c r="C34" s="8">
        <f>'11. a. mell. gördülő működési'!C36+'11. b. gördülő felhalmozási'!C21</f>
        <v>0</v>
      </c>
      <c r="D34" s="8">
        <f>+'11. a. mell. gördülő működési'!D36+'11. b. gördülő felhalmozási'!D21</f>
        <v>0</v>
      </c>
      <c r="E34" s="536">
        <f>+'11. a. mell. gördülő működési'!E36+'11. b. gördülő felhalmozási'!E21</f>
        <v>0</v>
      </c>
    </row>
    <row r="35" spans="1:5" ht="15" customHeight="1">
      <c r="A35" s="47" t="s">
        <v>43</v>
      </c>
      <c r="B35" s="9" t="s">
        <v>115</v>
      </c>
      <c r="C35" s="8">
        <f>+'1. a. mell.Műk. bev. és kiad.'!D37+'1.b. Felh. bev. és kiad.'!D22</f>
        <v>0</v>
      </c>
      <c r="D35" s="8">
        <f>+'11. a. mell. gördülő működési'!D37+'11. b. gördülő felhalmozási'!D22</f>
        <v>0</v>
      </c>
      <c r="E35" s="536">
        <f>+'11. a. mell. gördülő működési'!E37+'11. b. gördülő felhalmozási'!E22</f>
        <v>0</v>
      </c>
    </row>
    <row r="36" spans="1:5" ht="15" customHeight="1">
      <c r="A36" s="47" t="s">
        <v>45</v>
      </c>
      <c r="B36" s="9" t="s">
        <v>161</v>
      </c>
      <c r="C36" s="8">
        <f>+'1. a. mell.Műk. bev. és kiad.'!D38+'1.b. Felh. bev. és kiad.'!D23</f>
        <v>0</v>
      </c>
      <c r="D36" s="8">
        <f>+'11. a. mell. gördülő működési'!D38+'11. b. gördülő felhalmozási'!D23</f>
        <v>0</v>
      </c>
      <c r="E36" s="536">
        <f>+'11. a. mell. gördülő működési'!E38+'11. b. gördülő felhalmozási'!E23</f>
        <v>0</v>
      </c>
    </row>
    <row r="37" spans="1:5" ht="15" customHeight="1">
      <c r="A37" s="266"/>
      <c r="B37" s="11" t="s">
        <v>116</v>
      </c>
      <c r="C37" s="184">
        <f>+C33+C31+C28+C23+C19+C14+C8+C7+C6</f>
        <v>16540769</v>
      </c>
      <c r="D37" s="184">
        <f>+D33+D31+D28+D23+D19+D14+D8+D7+D6</f>
        <v>17024598</v>
      </c>
      <c r="E37" s="537">
        <f>+E33+E31+E28+E23+E19+E14+E8+E7+E6</f>
        <v>17574087</v>
      </c>
    </row>
    <row r="38" spans="1:6" ht="15" customHeight="1">
      <c r="A38" s="266" t="s">
        <v>122</v>
      </c>
      <c r="B38" s="11" t="s">
        <v>118</v>
      </c>
      <c r="C38" s="184">
        <f>+C39</f>
        <v>0</v>
      </c>
      <c r="D38" s="184">
        <f>+D39</f>
        <v>0</v>
      </c>
      <c r="E38" s="537">
        <f>+E39</f>
        <v>0</v>
      </c>
      <c r="F38" s="529"/>
    </row>
    <row r="39" spans="1:5" ht="15" customHeight="1">
      <c r="A39" s="47">
        <v>1</v>
      </c>
      <c r="B39" s="7" t="s">
        <v>119</v>
      </c>
      <c r="C39" s="8"/>
      <c r="D39" s="8"/>
      <c r="E39" s="536"/>
    </row>
    <row r="40" spans="1:5" ht="15" customHeight="1">
      <c r="A40" s="46"/>
      <c r="B40" s="3" t="s">
        <v>121</v>
      </c>
      <c r="C40" s="6">
        <f>+C38+C37</f>
        <v>16540769</v>
      </c>
      <c r="D40" s="6">
        <f>+D38+D37</f>
        <v>17024598</v>
      </c>
      <c r="E40" s="535">
        <f>+E38+E37</f>
        <v>17574087</v>
      </c>
    </row>
    <row r="41" spans="1:5" ht="15" customHeight="1">
      <c r="A41" s="46" t="s">
        <v>162</v>
      </c>
      <c r="B41" s="3" t="s">
        <v>163</v>
      </c>
      <c r="C41" s="6">
        <f>+C42+C43</f>
        <v>0</v>
      </c>
      <c r="D41" s="6">
        <f>+D42+D43</f>
        <v>0</v>
      </c>
      <c r="E41" s="535">
        <f>+E42+E43</f>
        <v>0</v>
      </c>
    </row>
    <row r="42" spans="1:7" ht="15" customHeight="1">
      <c r="A42" s="47">
        <v>1</v>
      </c>
      <c r="B42" s="7" t="s">
        <v>120</v>
      </c>
      <c r="C42" s="8">
        <f>+'1. a. mell.Műk. bev. és kiad.'!D41</f>
        <v>0</v>
      </c>
      <c r="D42" s="8"/>
      <c r="E42" s="536"/>
      <c r="G42" s="79"/>
    </row>
    <row r="43" spans="1:7" ht="15" customHeight="1">
      <c r="A43" s="47">
        <v>2</v>
      </c>
      <c r="B43" s="20" t="s">
        <v>123</v>
      </c>
      <c r="C43" s="8">
        <f>+'1.b. Felh. bev. és kiad.'!D28</f>
        <v>0</v>
      </c>
      <c r="D43" s="8">
        <f>+'11. b. gördülő felhalmozási'!D30</f>
        <v>0</v>
      </c>
      <c r="E43" s="536">
        <f>+'11. b. gördülő felhalmozási'!E30</f>
        <v>0</v>
      </c>
      <c r="G43" s="79"/>
    </row>
    <row r="44" spans="1:7" s="87" customFormat="1" ht="15" customHeight="1">
      <c r="A44" s="152"/>
      <c r="B44" s="675" t="s">
        <v>575</v>
      </c>
      <c r="C44" s="676">
        <f>+C40+C41</f>
        <v>16540769</v>
      </c>
      <c r="D44" s="676">
        <f>+D40+D41</f>
        <v>17024598</v>
      </c>
      <c r="E44" s="677">
        <f>+E40+E41</f>
        <v>17574087</v>
      </c>
      <c r="G44" s="90"/>
    </row>
    <row r="45" spans="1:5" ht="15" customHeight="1">
      <c r="A45" s="538"/>
      <c r="B45" s="120"/>
      <c r="C45" s="231"/>
      <c r="D45" s="231"/>
      <c r="E45" s="539"/>
    </row>
    <row r="46" spans="1:5" ht="15" customHeight="1">
      <c r="A46" s="540"/>
      <c r="B46" s="121" t="s">
        <v>124</v>
      </c>
      <c r="C46" s="6"/>
      <c r="D46" s="6"/>
      <c r="E46" s="535"/>
    </row>
    <row r="47" spans="1:5" ht="25.5" customHeight="1">
      <c r="A47" s="49" t="s">
        <v>38</v>
      </c>
      <c r="B47" s="17" t="s">
        <v>348</v>
      </c>
      <c r="C47" s="8">
        <f>'11. a. mell. gördülő működési'!C48</f>
        <v>11204358</v>
      </c>
      <c r="D47" s="8">
        <f>+'11. a. mell. gördülő működési'!D48</f>
        <v>11575692</v>
      </c>
      <c r="E47" s="536">
        <f>+'11. a. mell. gördülő működési'!E48</f>
        <v>11865085</v>
      </c>
    </row>
    <row r="48" spans="1:5" ht="12.75" customHeight="1">
      <c r="A48" s="49" t="s">
        <v>43</v>
      </c>
      <c r="B48" s="7" t="s">
        <v>349</v>
      </c>
      <c r="C48" s="8">
        <f>'11. a. mell. gördülő működési'!C49</f>
        <v>1621542</v>
      </c>
      <c r="D48" s="8">
        <f>+'11. a. mell. gördülő működési'!D49</f>
        <v>1662081</v>
      </c>
      <c r="E48" s="536">
        <f>+'11. a. mell. gördülő működési'!E49</f>
        <v>1703633</v>
      </c>
    </row>
    <row r="49" spans="1:5" ht="15" customHeight="1">
      <c r="A49" s="49" t="s">
        <v>45</v>
      </c>
      <c r="B49" s="7" t="s">
        <v>125</v>
      </c>
      <c r="C49" s="8">
        <f>'11. a. mell. gördülő működési'!C51</f>
        <v>930550</v>
      </c>
      <c r="D49" s="8">
        <f>+'11. a. mell. gördülő működési'!D51</f>
        <v>953814</v>
      </c>
      <c r="E49" s="536">
        <f>+'11. a. mell. gördülő működési'!E51</f>
        <v>977659</v>
      </c>
    </row>
    <row r="50" spans="1:5" ht="15" customHeight="1">
      <c r="A50" s="49" t="s">
        <v>47</v>
      </c>
      <c r="B50" s="7" t="s">
        <v>126</v>
      </c>
      <c r="C50" s="8"/>
      <c r="D50" s="8"/>
      <c r="E50" s="48"/>
    </row>
    <row r="51" spans="1:5" ht="15" customHeight="1">
      <c r="A51" s="49" t="s">
        <v>36</v>
      </c>
      <c r="B51" s="7" t="s">
        <v>191</v>
      </c>
      <c r="C51" s="8">
        <f>'11. a. mell. gördülő működési'!C50+'11. b. gördülő felhalmozási'!C37</f>
        <v>812050</v>
      </c>
      <c r="D51" s="8">
        <f>+'11. a. mell. gördülő működési'!D50+'11. b. gördülő felhalmozási'!D37</f>
        <v>832351</v>
      </c>
      <c r="E51" s="536">
        <f>+'11. a. mell. gördülő működési'!E50+'11. b. gördülő felhalmozási'!E37</f>
        <v>853160</v>
      </c>
    </row>
    <row r="52" spans="1:5" ht="15" customHeight="1">
      <c r="A52" s="49" t="s">
        <v>50</v>
      </c>
      <c r="B52" s="14" t="s">
        <v>231</v>
      </c>
      <c r="C52" s="8">
        <f>'11. b. gördülő felhalmozási'!C34</f>
        <v>165783</v>
      </c>
      <c r="D52" s="8">
        <f>+'11. b. gördülő felhalmozási'!D34</f>
        <v>167441</v>
      </c>
      <c r="E52" s="536">
        <f>+'11. b. gördülő felhalmozási'!E34</f>
        <v>169115</v>
      </c>
    </row>
    <row r="53" spans="1:5" ht="15" customHeight="1">
      <c r="A53" s="49" t="s">
        <v>52</v>
      </c>
      <c r="B53" s="14" t="s">
        <v>463</v>
      </c>
      <c r="C53" s="8">
        <f>'11. b. gördülő felhalmozási'!C35</f>
        <v>846771</v>
      </c>
      <c r="D53" s="8">
        <f>+'11. b. gördülő felhalmozási'!D35</f>
        <v>855239</v>
      </c>
      <c r="E53" s="536">
        <f>+'11. b. gördülő felhalmozási'!E35</f>
        <v>863791</v>
      </c>
    </row>
    <row r="54" spans="1:5" ht="15" customHeight="1">
      <c r="A54" s="49" t="s">
        <v>54</v>
      </c>
      <c r="B54" s="2" t="s">
        <v>127</v>
      </c>
      <c r="C54" s="8">
        <f>'11. a. mell. gördülő működési'!C53+'11. b. gördülő felhalmozási'!C36</f>
        <v>943215</v>
      </c>
      <c r="D54" s="8">
        <f>+'11. a. mell. gördülő működési'!D53+'11. b. gördülő felhalmozási'!D36</f>
        <v>961067</v>
      </c>
      <c r="E54" s="536">
        <f>+'11. a. mell. gördülő működési'!E53+'11. b. gördülő felhalmozási'!E36</f>
        <v>979308</v>
      </c>
    </row>
    <row r="55" spans="1:5" ht="15" customHeight="1">
      <c r="A55" s="49" t="s">
        <v>55</v>
      </c>
      <c r="B55" s="2" t="s">
        <v>19</v>
      </c>
      <c r="C55" s="8">
        <f>'11. b. gördülő felhalmozási'!C39</f>
        <v>16500</v>
      </c>
      <c r="D55" s="8">
        <f>+'11. b. gördülő felhalmozási'!D38+'11. b. gördülő felhalmozási'!D39</f>
        <v>16913</v>
      </c>
      <c r="E55" s="536">
        <f>+'11. b. gördülő felhalmozási'!E38+'11. b. gördülő felhalmozási'!E39</f>
        <v>17336</v>
      </c>
    </row>
    <row r="56" spans="1:10" s="87" customFormat="1" ht="15" customHeight="1">
      <c r="A56" s="50" t="s">
        <v>91</v>
      </c>
      <c r="B56" s="15" t="s">
        <v>128</v>
      </c>
      <c r="C56" s="6">
        <f>SUM(C47:C55)</f>
        <v>16540769</v>
      </c>
      <c r="D56" s="6">
        <f>SUM(D47:D55)</f>
        <v>17024598</v>
      </c>
      <c r="E56" s="535">
        <f>SUM(E47:E55)</f>
        <v>17429087</v>
      </c>
      <c r="J56" s="657"/>
    </row>
    <row r="57" spans="1:10" s="87" customFormat="1" ht="15" customHeight="1">
      <c r="A57" s="50" t="s">
        <v>97</v>
      </c>
      <c r="B57" s="15" t="s">
        <v>354</v>
      </c>
      <c r="C57" s="6">
        <f>SUM(C58:C62)</f>
        <v>0</v>
      </c>
      <c r="D57" s="6">
        <f>SUM(D58:D62)</f>
        <v>0</v>
      </c>
      <c r="E57" s="6">
        <f>SUM(E58:E62)</f>
        <v>145000</v>
      </c>
      <c r="J57" s="657"/>
    </row>
    <row r="58" spans="1:10" ht="15" customHeight="1">
      <c r="A58" s="49" t="s">
        <v>38</v>
      </c>
      <c r="B58" s="2" t="s">
        <v>363</v>
      </c>
      <c r="C58" s="8"/>
      <c r="D58" s="8"/>
      <c r="E58" s="536"/>
      <c r="J58" s="585"/>
    </row>
    <row r="59" spans="1:10" ht="15" customHeight="1">
      <c r="A59" s="49" t="s">
        <v>43</v>
      </c>
      <c r="B59" s="2" t="s">
        <v>353</v>
      </c>
      <c r="C59" s="8"/>
      <c r="D59" s="8"/>
      <c r="E59" s="536"/>
      <c r="J59" s="585"/>
    </row>
    <row r="60" spans="1:10" ht="15" customHeight="1">
      <c r="A60" s="49" t="s">
        <v>45</v>
      </c>
      <c r="B60" s="2" t="s">
        <v>562</v>
      </c>
      <c r="C60" s="8"/>
      <c r="D60" s="8"/>
      <c r="E60" s="536"/>
      <c r="J60" s="585"/>
    </row>
    <row r="61" spans="1:10" ht="15" customHeight="1">
      <c r="A61" s="49" t="s">
        <v>47</v>
      </c>
      <c r="B61" s="2" t="s">
        <v>515</v>
      </c>
      <c r="C61" s="8"/>
      <c r="D61" s="8"/>
      <c r="E61" s="536"/>
      <c r="J61" s="585"/>
    </row>
    <row r="62" spans="1:5" ht="15" customHeight="1">
      <c r="A62" s="49" t="s">
        <v>36</v>
      </c>
      <c r="B62" s="2" t="s">
        <v>216</v>
      </c>
      <c r="C62" s="8"/>
      <c r="D62" s="8"/>
      <c r="E62" s="536">
        <f>+'11. b. gördülő felhalmozási'!E41</f>
        <v>145000</v>
      </c>
    </row>
    <row r="63" spans="1:7" s="87" customFormat="1" ht="15" customHeight="1" thickBot="1">
      <c r="A63" s="542"/>
      <c r="B63" s="658" t="s">
        <v>130</v>
      </c>
      <c r="C63" s="624">
        <f>C56+C57</f>
        <v>16540769</v>
      </c>
      <c r="D63" s="624">
        <f>D56+D57</f>
        <v>17024598</v>
      </c>
      <c r="E63" s="659">
        <f>E56+E57</f>
        <v>17574087</v>
      </c>
      <c r="G63" s="90"/>
    </row>
    <row r="64" spans="1:7" ht="14.25" thickBot="1">
      <c r="A64" s="218"/>
      <c r="B64" s="273" t="s">
        <v>217</v>
      </c>
      <c r="C64" s="274">
        <f>+C44-C63</f>
        <v>0</v>
      </c>
      <c r="D64" s="274">
        <f>+D44-D63</f>
        <v>0</v>
      </c>
      <c r="E64" s="275">
        <f>+E44-E63</f>
        <v>0</v>
      </c>
      <c r="G64" s="79"/>
    </row>
    <row r="65" ht="12.75">
      <c r="G65" s="79"/>
    </row>
    <row r="66" spans="3:5" ht="12.75">
      <c r="C66" s="79"/>
      <c r="D66" s="79"/>
      <c r="E66" s="79"/>
    </row>
    <row r="67" spans="3:5" ht="12.75">
      <c r="C67" s="79"/>
      <c r="D67" s="79"/>
      <c r="E67" s="79"/>
    </row>
    <row r="68" spans="3:5" ht="12.75">
      <c r="C68" s="79"/>
      <c r="D68" s="79"/>
      <c r="E68" s="79"/>
    </row>
    <row r="69" spans="3:8" ht="12.75">
      <c r="C69" s="79"/>
      <c r="D69" s="79"/>
      <c r="E69" s="79"/>
      <c r="H69" s="1" t="s">
        <v>563</v>
      </c>
    </row>
    <row r="72" spans="3:5" ht="12.75">
      <c r="C72" s="79"/>
      <c r="D72" s="79"/>
      <c r="E72" s="79"/>
    </row>
  </sheetData>
  <sheetProtection/>
  <mergeCells count="10">
    <mergeCell ref="E31:E32"/>
    <mergeCell ref="D31:D32"/>
    <mergeCell ref="A31:A32"/>
    <mergeCell ref="B31:B32"/>
    <mergeCell ref="C31:C32"/>
    <mergeCell ref="D1:D2"/>
    <mergeCell ref="E1:E2"/>
    <mergeCell ref="A1:A2"/>
    <mergeCell ref="B1:B2"/>
    <mergeCell ref="C1:C2"/>
  </mergeCells>
  <printOptions horizontalCentered="1" vertic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89" r:id="rId1"/>
  <headerFooter alignWithMargins="0">
    <oddHeader>&amp;C&amp;"Times New Roman,Félkövér"A 9/2012. (II. 24.) önkormányzati rendelethez a Budapest Főváros IV. kerület Újpest Önkormányzat bevételeinek és kiadásainak mérlegéről gördülő tervezésben &amp;R
&amp;"Times New Roman,Normál"11. sz. melléklet
eFt-ban</oddHeader>
    <oddFooter>&amp;C&amp;"Times New Roman,Normál"&amp;P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7.421875" style="1" customWidth="1"/>
    <col min="2" max="2" width="50.421875" style="1" customWidth="1"/>
    <col min="3" max="3" width="14.140625" style="1" customWidth="1"/>
    <col min="4" max="4" width="14.00390625" style="1" customWidth="1"/>
    <col min="5" max="5" width="11.7109375" style="1" customWidth="1"/>
    <col min="6" max="6" width="12.00390625" style="1" customWidth="1"/>
    <col min="7" max="7" width="12.57421875" style="1" customWidth="1"/>
    <col min="8" max="8" width="13.7109375" style="1" customWidth="1"/>
    <col min="9" max="9" width="11.8515625" style="1" customWidth="1"/>
    <col min="10" max="10" width="14.8515625" style="1" customWidth="1"/>
    <col min="11" max="16384" width="9.140625" style="1" customWidth="1"/>
  </cols>
  <sheetData>
    <row r="1" spans="1:5" ht="13.5" thickBot="1">
      <c r="A1" s="134"/>
      <c r="B1" s="137"/>
      <c r="C1" s="138"/>
      <c r="D1" s="139"/>
      <c r="E1" s="139" t="s">
        <v>86</v>
      </c>
    </row>
    <row r="2" spans="1:5" s="87" customFormat="1" ht="12.75">
      <c r="A2" s="695" t="s">
        <v>87</v>
      </c>
      <c r="B2" s="693" t="s">
        <v>88</v>
      </c>
      <c r="C2" s="693" t="s">
        <v>315</v>
      </c>
      <c r="D2" s="693" t="s">
        <v>294</v>
      </c>
      <c r="E2" s="691" t="s">
        <v>35</v>
      </c>
    </row>
    <row r="3" spans="1:5" s="87" customFormat="1" ht="12.75">
      <c r="A3" s="696"/>
      <c r="B3" s="697"/>
      <c r="C3" s="694"/>
      <c r="D3" s="694"/>
      <c r="E3" s="692"/>
    </row>
    <row r="4" spans="1:5" ht="13.5" thickBot="1">
      <c r="A4" s="61" t="s">
        <v>38</v>
      </c>
      <c r="B4" s="62" t="s">
        <v>43</v>
      </c>
      <c r="C4" s="62" t="s">
        <v>45</v>
      </c>
      <c r="D4" s="62" t="s">
        <v>47</v>
      </c>
      <c r="E4" s="128" t="s">
        <v>36</v>
      </c>
    </row>
    <row r="5" spans="1:5" ht="12.75">
      <c r="A5" s="129"/>
      <c r="B5" s="59" t="s">
        <v>90</v>
      </c>
      <c r="C5" s="97"/>
      <c r="D5" s="97"/>
      <c r="E5" s="98"/>
    </row>
    <row r="6" spans="1:5" s="87" customFormat="1" ht="27" customHeight="1">
      <c r="A6" s="46" t="s">
        <v>38</v>
      </c>
      <c r="B6" s="16" t="s">
        <v>132</v>
      </c>
      <c r="C6" s="99">
        <f>+C7+C8</f>
        <v>1577632</v>
      </c>
      <c r="D6" s="99">
        <f>+D7+D8</f>
        <v>2017646</v>
      </c>
      <c r="E6" s="66">
        <f>+D6/C6</f>
        <v>1.279</v>
      </c>
    </row>
    <row r="7" spans="1:5" ht="27.75" customHeight="1">
      <c r="A7" s="47"/>
      <c r="B7" s="17" t="s">
        <v>368</v>
      </c>
      <c r="C7" s="18">
        <f>'2. mell. Önálló int. összesen'!X5+'2. mell. Önálló int. összesen'!X12</f>
        <v>1275688</v>
      </c>
      <c r="D7" s="18">
        <f>'2. mell. Önálló int. összesen'!Y5+'2. mell. Önálló int. összesen'!Y12</f>
        <v>1429816</v>
      </c>
      <c r="E7" s="64">
        <f aca="true" t="shared" si="0" ref="E7:E39">+D7/C7</f>
        <v>1.121</v>
      </c>
    </row>
    <row r="8" spans="1:5" ht="15" customHeight="1">
      <c r="A8" s="47"/>
      <c r="B8" s="17" t="s">
        <v>369</v>
      </c>
      <c r="C8" s="35">
        <f>'2. mell. Önálló int. összesen'!AA5+'2. mell. Önálló int. összesen'!AA12</f>
        <v>301944</v>
      </c>
      <c r="D8" s="35">
        <f>'2. mell. Önálló int. összesen'!AB5+'2. mell. Önálló int. összesen'!AB12</f>
        <v>587830</v>
      </c>
      <c r="E8" s="64">
        <f t="shared" si="0"/>
        <v>1.947</v>
      </c>
    </row>
    <row r="9" spans="1:6" s="87" customFormat="1" ht="15" customHeight="1">
      <c r="A9" s="46" t="s">
        <v>43</v>
      </c>
      <c r="B9" s="3" t="s">
        <v>94</v>
      </c>
      <c r="C9" s="99">
        <f>+C10+C16+C20+C21</f>
        <v>9934652</v>
      </c>
      <c r="D9" s="99">
        <f>+D10+D16+D20+D21</f>
        <v>9396929</v>
      </c>
      <c r="E9" s="66">
        <f t="shared" si="0"/>
        <v>0.946</v>
      </c>
      <c r="F9" s="90"/>
    </row>
    <row r="10" spans="1:5" ht="15" customHeight="1">
      <c r="A10" s="47" t="s">
        <v>100</v>
      </c>
      <c r="B10" s="7" t="s">
        <v>166</v>
      </c>
      <c r="C10" s="18">
        <f>SUM(C11:C15)</f>
        <v>8222412</v>
      </c>
      <c r="D10" s="18">
        <f>SUM(D11:D15)</f>
        <v>8284049</v>
      </c>
      <c r="E10" s="64">
        <f t="shared" si="0"/>
        <v>1.007</v>
      </c>
    </row>
    <row r="11" spans="1:5" ht="15" customHeight="1">
      <c r="A11" s="47"/>
      <c r="B11" s="7" t="s">
        <v>167</v>
      </c>
      <c r="C11" s="18">
        <v>1600000</v>
      </c>
      <c r="D11" s="18">
        <f>1900000</f>
        <v>1900000</v>
      </c>
      <c r="E11" s="64">
        <f t="shared" si="0"/>
        <v>1.188</v>
      </c>
    </row>
    <row r="12" spans="1:6" ht="15" customHeight="1">
      <c r="A12" s="47"/>
      <c r="B12" s="7" t="s">
        <v>169</v>
      </c>
      <c r="C12" s="18">
        <v>240000</v>
      </c>
      <c r="D12" s="18">
        <f>260000</f>
        <v>260000</v>
      </c>
      <c r="E12" s="64">
        <f t="shared" si="0"/>
        <v>1.083</v>
      </c>
      <c r="F12" s="79"/>
    </row>
    <row r="13" spans="1:5" ht="15" customHeight="1">
      <c r="A13" s="47"/>
      <c r="B13" s="7" t="s">
        <v>170</v>
      </c>
      <c r="C13" s="18">
        <v>50000</v>
      </c>
      <c r="D13" s="18">
        <f>50000</f>
        <v>50000</v>
      </c>
      <c r="E13" s="64">
        <f t="shared" si="0"/>
        <v>1</v>
      </c>
    </row>
    <row r="14" spans="1:6" ht="15" customHeight="1">
      <c r="A14" s="47"/>
      <c r="B14" s="7" t="s">
        <v>303</v>
      </c>
      <c r="C14" s="18">
        <v>6300712</v>
      </c>
      <c r="D14" s="18">
        <f>6039049</f>
        <v>6039049</v>
      </c>
      <c r="E14" s="64">
        <f t="shared" si="0"/>
        <v>0.958</v>
      </c>
      <c r="F14" s="79"/>
    </row>
    <row r="15" spans="1:6" ht="15" customHeight="1">
      <c r="A15" s="47"/>
      <c r="B15" s="7" t="s">
        <v>16</v>
      </c>
      <c r="C15" s="18">
        <v>31700</v>
      </c>
      <c r="D15" s="18">
        <f>35000</f>
        <v>35000</v>
      </c>
      <c r="E15" s="64">
        <f t="shared" si="0"/>
        <v>1.104</v>
      </c>
      <c r="F15" s="79"/>
    </row>
    <row r="16" spans="1:5" ht="15" customHeight="1">
      <c r="A16" s="47" t="s">
        <v>101</v>
      </c>
      <c r="B16" s="9" t="s">
        <v>168</v>
      </c>
      <c r="C16" s="18">
        <f>SUM(C17:C19)</f>
        <v>1084702</v>
      </c>
      <c r="D16" s="18">
        <f>SUM(D17:D19)</f>
        <v>948880</v>
      </c>
      <c r="E16" s="64">
        <f t="shared" si="0"/>
        <v>0.875</v>
      </c>
    </row>
    <row r="17" spans="1:6" ht="15" customHeight="1">
      <c r="A17" s="47"/>
      <c r="B17" s="9" t="s">
        <v>567</v>
      </c>
      <c r="C17" s="18">
        <v>464702</v>
      </c>
      <c r="D17" s="18">
        <f>348880</f>
        <v>348880</v>
      </c>
      <c r="E17" s="64">
        <f t="shared" si="0"/>
        <v>0.751</v>
      </c>
      <c r="F17" s="79"/>
    </row>
    <row r="18" spans="1:6" ht="15" customHeight="1">
      <c r="A18" s="47"/>
      <c r="B18" s="9" t="s">
        <v>171</v>
      </c>
      <c r="C18" s="18">
        <v>620000</v>
      </c>
      <c r="D18" s="18">
        <f>600000</f>
        <v>600000</v>
      </c>
      <c r="E18" s="64">
        <f t="shared" si="0"/>
        <v>0.968</v>
      </c>
      <c r="F18" s="79"/>
    </row>
    <row r="19" spans="1:6" ht="15" customHeight="1">
      <c r="A19" s="47"/>
      <c r="B19" s="9" t="s">
        <v>13</v>
      </c>
      <c r="C19" s="18"/>
      <c r="D19" s="18">
        <f>173135-173135</f>
        <v>0</v>
      </c>
      <c r="E19" s="64"/>
      <c r="F19" s="79"/>
    </row>
    <row r="20" spans="1:5" ht="15" customHeight="1">
      <c r="A20" s="47" t="s">
        <v>103</v>
      </c>
      <c r="B20" s="34" t="s">
        <v>383</v>
      </c>
      <c r="C20" s="18">
        <v>50390</v>
      </c>
      <c r="D20" s="18">
        <f>30000+8000+40000-3000</f>
        <v>75000</v>
      </c>
      <c r="E20" s="64">
        <f t="shared" si="0"/>
        <v>1.488</v>
      </c>
    </row>
    <row r="21" spans="1:5" ht="15" customHeight="1">
      <c r="A21" s="47" t="s">
        <v>104</v>
      </c>
      <c r="B21" s="34" t="s">
        <v>370</v>
      </c>
      <c r="C21" s="18">
        <v>577148</v>
      </c>
      <c r="D21" s="18">
        <f>78000+11000</f>
        <v>89000</v>
      </c>
      <c r="E21" s="64">
        <f t="shared" si="0"/>
        <v>0.154</v>
      </c>
    </row>
    <row r="22" spans="1:6" s="87" customFormat="1" ht="15" customHeight="1">
      <c r="A22" s="46" t="s">
        <v>45</v>
      </c>
      <c r="B22" s="3" t="s">
        <v>99</v>
      </c>
      <c r="C22" s="99">
        <f>+C23+C24+C25</f>
        <v>3626483</v>
      </c>
      <c r="D22" s="99">
        <f>+D23+D24+D25</f>
        <v>3496988</v>
      </c>
      <c r="E22" s="66">
        <f t="shared" si="0"/>
        <v>0.964</v>
      </c>
      <c r="F22" s="90"/>
    </row>
    <row r="23" spans="1:6" ht="15" customHeight="1">
      <c r="A23" s="47" t="s">
        <v>100</v>
      </c>
      <c r="B23" s="7" t="s">
        <v>228</v>
      </c>
      <c r="C23" s="18">
        <v>3517924</v>
      </c>
      <c r="D23" s="18">
        <f>223678+2929045+47550</f>
        <v>3200273</v>
      </c>
      <c r="E23" s="64">
        <f>+D23/C23</f>
        <v>0.91</v>
      </c>
      <c r="F23" s="79"/>
    </row>
    <row r="24" spans="1:5" ht="15" customHeight="1">
      <c r="A24" s="47" t="s">
        <v>101</v>
      </c>
      <c r="B24" s="7" t="s">
        <v>133</v>
      </c>
      <c r="C24" s="18">
        <v>2520</v>
      </c>
      <c r="D24" s="18"/>
      <c r="E24" s="64">
        <f t="shared" si="0"/>
        <v>0</v>
      </c>
    </row>
    <row r="25" spans="1:5" ht="15" customHeight="1">
      <c r="A25" s="47" t="s">
        <v>103</v>
      </c>
      <c r="B25" s="7" t="s">
        <v>134</v>
      </c>
      <c r="C25" s="18">
        <v>106039</v>
      </c>
      <c r="D25" s="18">
        <f>50800+6846+13212+176868+32040+13761+400+2788</f>
        <v>296715</v>
      </c>
      <c r="E25" s="64">
        <f t="shared" si="0"/>
        <v>2.798</v>
      </c>
    </row>
    <row r="26" spans="1:5" ht="15" customHeight="1">
      <c r="A26" s="47" t="s">
        <v>104</v>
      </c>
      <c r="B26" s="7" t="s">
        <v>438</v>
      </c>
      <c r="C26" s="18"/>
      <c r="D26" s="18"/>
      <c r="E26" s="64"/>
    </row>
    <row r="27" spans="1:5" s="87" customFormat="1" ht="15" customHeight="1">
      <c r="A27" s="46" t="s">
        <v>47</v>
      </c>
      <c r="B27" s="3" t="s">
        <v>225</v>
      </c>
      <c r="C27" s="99">
        <f>+C28+C29+C30</f>
        <v>1182233</v>
      </c>
      <c r="D27" s="99">
        <f>+D28+D29+D30</f>
        <v>1028502</v>
      </c>
      <c r="E27" s="66">
        <f t="shared" si="0"/>
        <v>0.87</v>
      </c>
    </row>
    <row r="28" spans="1:5" ht="27" customHeight="1">
      <c r="A28" s="47" t="s">
        <v>100</v>
      </c>
      <c r="B28" s="17" t="s">
        <v>17</v>
      </c>
      <c r="C28" s="18">
        <f>+'2. mell. Önálló int. összesen'!X10</f>
        <v>33655</v>
      </c>
      <c r="D28" s="18">
        <f>+'2. mell. Önálló int. összesen'!AB10</f>
        <v>770502</v>
      </c>
      <c r="E28" s="64">
        <f t="shared" si="0"/>
        <v>22.894</v>
      </c>
    </row>
    <row r="29" spans="1:5" ht="28.5" customHeight="1">
      <c r="A29" s="47" t="s">
        <v>101</v>
      </c>
      <c r="B29" s="17" t="s">
        <v>350</v>
      </c>
      <c r="C29" s="18">
        <f>'2. mell. Önálló int. összesen'!AA10</f>
        <v>888578</v>
      </c>
      <c r="D29" s="18">
        <f>'2. mell. Önálló int. összesen'!Y10</f>
        <v>0</v>
      </c>
      <c r="E29" s="64">
        <f t="shared" si="0"/>
        <v>0</v>
      </c>
    </row>
    <row r="30" spans="1:5" ht="15" customHeight="1">
      <c r="A30" s="47" t="s">
        <v>103</v>
      </c>
      <c r="B30" s="7" t="s">
        <v>175</v>
      </c>
      <c r="C30" s="18">
        <f>'2. mell. Önálló int. összesen'!X16</f>
        <v>260000</v>
      </c>
      <c r="D30" s="18">
        <f>'2. mell. Önálló int. összesen'!Y16</f>
        <v>258000</v>
      </c>
      <c r="E30" s="64">
        <f t="shared" si="0"/>
        <v>0.992</v>
      </c>
    </row>
    <row r="31" spans="1:7" s="87" customFormat="1" ht="15" customHeight="1">
      <c r="A31" s="46" t="s">
        <v>36</v>
      </c>
      <c r="B31" s="3" t="s">
        <v>164</v>
      </c>
      <c r="C31" s="99">
        <f>+C32+C33</f>
        <v>0</v>
      </c>
      <c r="D31" s="99">
        <f>+D32+D33</f>
        <v>0</v>
      </c>
      <c r="E31" s="64"/>
      <c r="G31" s="90"/>
    </row>
    <row r="32" spans="1:5" ht="26.25" customHeight="1">
      <c r="A32" s="47" t="s">
        <v>100</v>
      </c>
      <c r="B32" s="17" t="s">
        <v>17</v>
      </c>
      <c r="C32" s="18"/>
      <c r="D32" s="18"/>
      <c r="E32" s="64"/>
    </row>
    <row r="33" spans="1:7" ht="25.5" customHeight="1">
      <c r="A33" s="47" t="s">
        <v>101</v>
      </c>
      <c r="B33" s="17" t="s">
        <v>350</v>
      </c>
      <c r="C33" s="18"/>
      <c r="D33" s="18"/>
      <c r="E33" s="64"/>
      <c r="G33" s="79"/>
    </row>
    <row r="34" spans="1:5" ht="15" customHeight="1">
      <c r="A34" s="46" t="s">
        <v>50</v>
      </c>
      <c r="B34" s="3" t="s">
        <v>111</v>
      </c>
      <c r="C34" s="99"/>
      <c r="D34" s="99"/>
      <c r="E34" s="64"/>
    </row>
    <row r="35" spans="1:7" s="87" customFormat="1" ht="15" customHeight="1">
      <c r="A35" s="46" t="s">
        <v>52</v>
      </c>
      <c r="B35" s="19" t="s">
        <v>113</v>
      </c>
      <c r="C35" s="99">
        <f>+C36+C37+C38</f>
        <v>12869</v>
      </c>
      <c r="D35" s="99">
        <f>+D36+D37+D38</f>
        <v>0</v>
      </c>
      <c r="E35" s="64">
        <f t="shared" si="0"/>
        <v>0</v>
      </c>
      <c r="G35" s="90"/>
    </row>
    <row r="36" spans="1:5" ht="15" customHeight="1">
      <c r="A36" s="47" t="s">
        <v>100</v>
      </c>
      <c r="B36" s="9" t="s">
        <v>114</v>
      </c>
      <c r="C36" s="18">
        <v>12869</v>
      </c>
      <c r="D36" s="18"/>
      <c r="E36" s="64">
        <f t="shared" si="0"/>
        <v>0</v>
      </c>
    </row>
    <row r="37" spans="1:5" ht="15" customHeight="1">
      <c r="A37" s="47" t="s">
        <v>101</v>
      </c>
      <c r="B37" s="9" t="s">
        <v>115</v>
      </c>
      <c r="C37" s="18"/>
      <c r="D37" s="18"/>
      <c r="E37" s="64"/>
    </row>
    <row r="38" spans="1:5" ht="15" customHeight="1">
      <c r="A38" s="47" t="s">
        <v>103</v>
      </c>
      <c r="B38" s="9" t="s">
        <v>161</v>
      </c>
      <c r="C38" s="18"/>
      <c r="D38" s="18"/>
      <c r="E38" s="64"/>
    </row>
    <row r="39" spans="1:5" s="87" customFormat="1" ht="15" customHeight="1">
      <c r="A39" s="46"/>
      <c r="B39" s="3" t="s">
        <v>135</v>
      </c>
      <c r="C39" s="99">
        <f>+C35+C31+C27+C22+C9+C6</f>
        <v>16333869</v>
      </c>
      <c r="D39" s="99">
        <f>+D35+D31+D27+D22+D9+D6</f>
        <v>15940065</v>
      </c>
      <c r="E39" s="66">
        <f t="shared" si="0"/>
        <v>0.976</v>
      </c>
    </row>
    <row r="40" spans="1:5" ht="15" customHeight="1">
      <c r="A40" s="46" t="s">
        <v>54</v>
      </c>
      <c r="B40" s="3" t="s">
        <v>129</v>
      </c>
      <c r="C40" s="99">
        <f>+C41+C42</f>
        <v>0</v>
      </c>
      <c r="D40" s="99">
        <f>+D41+D42</f>
        <v>0</v>
      </c>
      <c r="E40" s="64"/>
    </row>
    <row r="41" spans="1:5" ht="15" customHeight="1">
      <c r="A41" s="47" t="s">
        <v>100</v>
      </c>
      <c r="B41" s="7" t="s">
        <v>120</v>
      </c>
      <c r="C41" s="18"/>
      <c r="D41" s="18"/>
      <c r="E41" s="64"/>
    </row>
    <row r="42" spans="1:5" ht="15" customHeight="1">
      <c r="A42" s="47" t="s">
        <v>101</v>
      </c>
      <c r="B42" s="7" t="s">
        <v>226</v>
      </c>
      <c r="C42" s="18"/>
      <c r="D42" s="18"/>
      <c r="E42" s="64"/>
    </row>
    <row r="43" spans="1:5" ht="28.5" customHeight="1">
      <c r="A43" s="46" t="s">
        <v>55</v>
      </c>
      <c r="B43" s="16" t="s">
        <v>136</v>
      </c>
      <c r="C43" s="300">
        <f>+C40+C39</f>
        <v>16333869</v>
      </c>
      <c r="D43" s="300">
        <f>+D40+D39</f>
        <v>15940065</v>
      </c>
      <c r="E43" s="299">
        <f>+D43/C43</f>
        <v>0.976</v>
      </c>
    </row>
    <row r="44" spans="1:5" ht="15" customHeight="1">
      <c r="A44" s="100"/>
      <c r="B44" s="101"/>
      <c r="C44" s="102"/>
      <c r="D44" s="102"/>
      <c r="E44" s="103"/>
    </row>
    <row r="45" spans="1:5" ht="15" customHeight="1">
      <c r="A45" s="47"/>
      <c r="B45" s="3" t="s">
        <v>241</v>
      </c>
      <c r="C45" s="99"/>
      <c r="D45" s="99"/>
      <c r="E45" s="104"/>
    </row>
    <row r="46" spans="1:5" ht="26.25" customHeight="1">
      <c r="A46" s="47" t="s">
        <v>38</v>
      </c>
      <c r="B46" s="17" t="s">
        <v>348</v>
      </c>
      <c r="C46" s="18">
        <f>'2. mell. Önálló int. összesen'!X22</f>
        <v>8694191</v>
      </c>
      <c r="D46" s="18">
        <f>'2. mell. Önálló int. összesen'!Y22</f>
        <v>11204358</v>
      </c>
      <c r="E46" s="64">
        <f>+D46/C46</f>
        <v>1.289</v>
      </c>
    </row>
    <row r="47" spans="1:10" ht="38.25" customHeight="1">
      <c r="A47" s="47" t="s">
        <v>43</v>
      </c>
      <c r="B47" s="7" t="s">
        <v>362</v>
      </c>
      <c r="C47" s="18">
        <f>'2. mell. Önálló int. összesen'!AA23+'2. mell. Önálló int. összesen'!AA24+'2. mell. Önálló int. összesen'!AA25</f>
        <v>4832211</v>
      </c>
      <c r="D47" s="18">
        <f>'2. mell. Önálló int. összesen'!AB23+'2. mell. Önálló int. összesen'!AB24+'2. mell. Önálló int. összesen'!AB25</f>
        <v>1621542</v>
      </c>
      <c r="E47" s="64">
        <f aca="true" t="shared" si="1" ref="E47:E58">+D47/C47</f>
        <v>0.336</v>
      </c>
      <c r="H47" s="79"/>
      <c r="I47" s="79"/>
      <c r="J47" s="79"/>
    </row>
    <row r="48" spans="1:5" ht="15" customHeight="1">
      <c r="A48" s="47" t="s">
        <v>45</v>
      </c>
      <c r="B48" s="7" t="s">
        <v>192</v>
      </c>
      <c r="C48" s="18">
        <f>'5.mell.átadott'!C48+'5.mell.átadott'!C64</f>
        <v>394749</v>
      </c>
      <c r="D48" s="18">
        <f>'5.mell.átadott'!D48+'5.mell.átadott'!D64</f>
        <v>748050</v>
      </c>
      <c r="E48" s="64">
        <f t="shared" si="1"/>
        <v>1.895</v>
      </c>
    </row>
    <row r="49" spans="1:5" ht="15" customHeight="1">
      <c r="A49" s="47" t="s">
        <v>47</v>
      </c>
      <c r="B49" s="7" t="s">
        <v>125</v>
      </c>
      <c r="C49" s="18">
        <f>'2. mell. Önálló int. összesen'!AA27</f>
        <v>845050</v>
      </c>
      <c r="D49" s="18">
        <f>'2. mell. Önálló int. összesen'!AB27</f>
        <v>930550</v>
      </c>
      <c r="E49" s="64">
        <f t="shared" si="1"/>
        <v>1.101</v>
      </c>
    </row>
    <row r="50" spans="1:5" ht="15" customHeight="1">
      <c r="A50" s="47" t="s">
        <v>36</v>
      </c>
      <c r="B50" s="7" t="s">
        <v>126</v>
      </c>
      <c r="C50" s="18"/>
      <c r="D50" s="18"/>
      <c r="E50" s="64"/>
    </row>
    <row r="51" spans="1:5" ht="15" customHeight="1">
      <c r="A51" s="47" t="s">
        <v>50</v>
      </c>
      <c r="B51" s="7" t="s">
        <v>137</v>
      </c>
      <c r="C51" s="18">
        <f>'6. mell.tartalékok'!C55+'6. mell.tartalékok'!C62</f>
        <v>698052</v>
      </c>
      <c r="D51" s="18">
        <f>'6. mell.tartalékok'!D55</f>
        <v>561335</v>
      </c>
      <c r="E51" s="64">
        <f t="shared" si="1"/>
        <v>0.804</v>
      </c>
    </row>
    <row r="52" spans="1:5" s="87" customFormat="1" ht="15" customHeight="1">
      <c r="A52" s="46" t="s">
        <v>91</v>
      </c>
      <c r="B52" s="3" t="s">
        <v>138</v>
      </c>
      <c r="C52" s="99">
        <f>SUM(C46:C51)</f>
        <v>15464253</v>
      </c>
      <c r="D52" s="99">
        <f>SUM(D46:D51)</f>
        <v>15065835</v>
      </c>
      <c r="E52" s="66">
        <f t="shared" si="1"/>
        <v>0.974</v>
      </c>
    </row>
    <row r="53" spans="1:5" s="87" customFormat="1" ht="15" customHeight="1">
      <c r="A53" s="46" t="s">
        <v>97</v>
      </c>
      <c r="B53" s="19" t="s">
        <v>354</v>
      </c>
      <c r="C53" s="99">
        <f>SUM(C54:C55)</f>
        <v>0</v>
      </c>
      <c r="D53" s="99">
        <f>SUM(D54:D55)</f>
        <v>0</v>
      </c>
      <c r="E53" s="66"/>
    </row>
    <row r="54" spans="1:5" ht="15" customHeight="1">
      <c r="A54" s="47" t="s">
        <v>52</v>
      </c>
      <c r="B54" s="7" t="s">
        <v>213</v>
      </c>
      <c r="C54" s="18"/>
      <c r="D54" s="18"/>
      <c r="E54" s="66"/>
    </row>
    <row r="55" spans="1:5" ht="15" customHeight="1">
      <c r="A55" s="47" t="s">
        <v>54</v>
      </c>
      <c r="B55" s="20" t="s">
        <v>353</v>
      </c>
      <c r="C55" s="99"/>
      <c r="D55" s="99"/>
      <c r="E55" s="66"/>
    </row>
    <row r="56" spans="1:5" s="87" customFormat="1" ht="26.25" customHeight="1" thickBot="1">
      <c r="A56" s="105"/>
      <c r="B56" s="65" t="s">
        <v>139</v>
      </c>
      <c r="C56" s="110">
        <f>+C55+C52+C54</f>
        <v>15464253</v>
      </c>
      <c r="D56" s="110">
        <f>+D55+D52+D54</f>
        <v>15065835</v>
      </c>
      <c r="E56" s="67">
        <f t="shared" si="1"/>
        <v>0.974</v>
      </c>
    </row>
    <row r="57" spans="1:5" ht="15" customHeight="1">
      <c r="A57" s="106"/>
      <c r="B57" s="107" t="s">
        <v>131</v>
      </c>
      <c r="C57" s="108"/>
      <c r="D57" s="108"/>
      <c r="E57" s="63"/>
    </row>
    <row r="58" spans="1:5" ht="15" customHeight="1" thickBot="1">
      <c r="A58" s="214" t="s">
        <v>55</v>
      </c>
      <c r="B58" s="215" t="s">
        <v>227</v>
      </c>
      <c r="C58" s="216">
        <f>'2. mell. Önálló int. összesen'!X15</f>
        <v>7177221</v>
      </c>
      <c r="D58" s="216">
        <f>'2. mell. Önálló int. összesen'!Y15</f>
        <v>9592565</v>
      </c>
      <c r="E58" s="217">
        <f t="shared" si="1"/>
        <v>1.337</v>
      </c>
    </row>
    <row r="59" spans="1:5" ht="15" customHeight="1" thickBot="1">
      <c r="A59" s="218"/>
      <c r="B59" s="219" t="s">
        <v>222</v>
      </c>
      <c r="C59" s="220">
        <f>C43-C56</f>
        <v>869616</v>
      </c>
      <c r="D59" s="220">
        <f>D43-D56</f>
        <v>874230</v>
      </c>
      <c r="E59" s="221"/>
    </row>
  </sheetData>
  <sheetProtection/>
  <mergeCells count="5">
    <mergeCell ref="E2:E3"/>
    <mergeCell ref="A2:A3"/>
    <mergeCell ref="B2:B3"/>
    <mergeCell ref="C2:C3"/>
    <mergeCell ref="D2:D3"/>
  </mergeCells>
  <printOptions horizontalCentered="1" verticalCentered="1"/>
  <pageMargins left="0.7874015748031497" right="0.7874015748031497" top="1.1023622047244095" bottom="0.8267716535433072" header="0.5118110236220472" footer="0.5118110236220472"/>
  <pageSetup horizontalDpi="300" verticalDpi="300" orientation="portrait" paperSize="9" scale="69" r:id="rId1"/>
  <headerFooter alignWithMargins="0">
    <oddHeader>&amp;C&amp;"Times New Roman,Félkövér"A 9/2012. (II. 24.) önkormányzati rendelethez
 a Budapest Főváros IV. kerület Újpest Önk. működési célú bevételeinek és kiadásainak mérlegéről&amp;R
&amp;"Times New Roman,Normál"1.a.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7">
      <selection activeCell="G44" sqref="G44:G61"/>
    </sheetView>
  </sheetViews>
  <sheetFormatPr defaultColWidth="9.140625" defaultRowHeight="12.75"/>
  <cols>
    <col min="1" max="1" width="9.140625" style="1" customWidth="1"/>
    <col min="2" max="2" width="48.8515625" style="1" customWidth="1"/>
    <col min="3" max="3" width="11.7109375" style="1" customWidth="1"/>
    <col min="4" max="4" width="11.421875" style="87" customWidth="1"/>
    <col min="5" max="5" width="11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13.5" thickBot="1">
      <c r="A1" s="134"/>
      <c r="B1" s="137"/>
      <c r="C1" s="139"/>
      <c r="D1" s="280"/>
      <c r="E1" s="139"/>
    </row>
    <row r="2" spans="1:5" s="87" customFormat="1" ht="12.75" customHeight="1">
      <c r="A2" s="695" t="s">
        <v>87</v>
      </c>
      <c r="B2" s="693" t="s">
        <v>88</v>
      </c>
      <c r="C2" s="693" t="s">
        <v>288</v>
      </c>
      <c r="D2" s="693" t="s">
        <v>289</v>
      </c>
      <c r="E2" s="691" t="s">
        <v>290</v>
      </c>
    </row>
    <row r="3" spans="1:5" s="87" customFormat="1" ht="13.5" thickBot="1">
      <c r="A3" s="764"/>
      <c r="B3" s="765"/>
      <c r="C3" s="765"/>
      <c r="D3" s="747"/>
      <c r="E3" s="763"/>
    </row>
    <row r="4" spans="1:5" ht="12.75">
      <c r="A4" s="281" t="s">
        <v>38</v>
      </c>
      <c r="B4" s="282" t="s">
        <v>43</v>
      </c>
      <c r="C4" s="282" t="s">
        <v>45</v>
      </c>
      <c r="D4" s="282" t="s">
        <v>47</v>
      </c>
      <c r="E4" s="283" t="s">
        <v>36</v>
      </c>
    </row>
    <row r="5" spans="1:5" ht="12.75">
      <c r="A5" s="284"/>
      <c r="B5" s="3" t="s">
        <v>305</v>
      </c>
      <c r="C5" s="285"/>
      <c r="D5" s="286"/>
      <c r="E5" s="287"/>
    </row>
    <row r="6" spans="1:5" ht="18.75" customHeight="1">
      <c r="A6" s="47" t="s">
        <v>38</v>
      </c>
      <c r="B6" s="16" t="s">
        <v>132</v>
      </c>
      <c r="C6" s="99">
        <f>+C7+C8</f>
        <v>2017646</v>
      </c>
      <c r="D6" s="99">
        <f>+D7+D8</f>
        <v>2098352</v>
      </c>
      <c r="E6" s="288">
        <f>+E7+E8</f>
        <v>2182286</v>
      </c>
    </row>
    <row r="7" spans="1:5" ht="25.5" customHeight="1">
      <c r="A7" s="47"/>
      <c r="B7" s="17" t="s">
        <v>15</v>
      </c>
      <c r="C7" s="18">
        <f>'2. mell. Önálló int. összesen'!Y5+'2. mell. Önálló int. összesen'!Y12</f>
        <v>1429816</v>
      </c>
      <c r="D7" s="18">
        <f>C7*1.04</f>
        <v>1487009</v>
      </c>
      <c r="E7" s="104">
        <f>D7*1.04</f>
        <v>1546489</v>
      </c>
    </row>
    <row r="8" spans="1:5" ht="15" customHeight="1">
      <c r="A8" s="47"/>
      <c r="B8" s="17" t="s">
        <v>346</v>
      </c>
      <c r="C8" s="187">
        <f>'2. mell. Önálló int. összesen'!AB5+'2. mell. Önálló int. összesen'!AB12</f>
        <v>587830</v>
      </c>
      <c r="D8" s="18">
        <f>C8*1.04</f>
        <v>611343</v>
      </c>
      <c r="E8" s="104">
        <f>D8*1.04</f>
        <v>635797</v>
      </c>
    </row>
    <row r="9" spans="1:5" ht="15" customHeight="1">
      <c r="A9" s="46" t="s">
        <v>43</v>
      </c>
      <c r="B9" s="3" t="s">
        <v>94</v>
      </c>
      <c r="C9" s="99">
        <f>+C10+C16+C20+C21</f>
        <v>9396929</v>
      </c>
      <c r="D9" s="99">
        <f>+D10+D16+D20+D21</f>
        <v>9671895</v>
      </c>
      <c r="E9" s="288">
        <f>+E10+E16+E20+E21</f>
        <v>10002125</v>
      </c>
    </row>
    <row r="10" spans="1:5" s="191" customFormat="1" ht="15" customHeight="1">
      <c r="A10" s="266" t="s">
        <v>100</v>
      </c>
      <c r="B10" s="4" t="s">
        <v>166</v>
      </c>
      <c r="C10" s="289">
        <f>+C11+C12+C13+C14+C15</f>
        <v>8284049</v>
      </c>
      <c r="D10" s="289">
        <f>+D11+D12+D13+D14</f>
        <v>8531193</v>
      </c>
      <c r="E10" s="290">
        <f>+E11+E12+E13+E14</f>
        <v>8832905</v>
      </c>
    </row>
    <row r="11" spans="1:5" ht="15" customHeight="1">
      <c r="A11" s="47"/>
      <c r="B11" s="7" t="s">
        <v>167</v>
      </c>
      <c r="C11" s="18">
        <f>'1. a. mell.Műk. bev. és kiad.'!D11</f>
        <v>1900000</v>
      </c>
      <c r="D11" s="18">
        <f>C11*1.035-6573</f>
        <v>1959927</v>
      </c>
      <c r="E11" s="104">
        <f>D11*1.035+3120</f>
        <v>2031644</v>
      </c>
    </row>
    <row r="12" spans="1:5" ht="15" customHeight="1">
      <c r="A12" s="47"/>
      <c r="B12" s="7" t="s">
        <v>169</v>
      </c>
      <c r="C12" s="18">
        <f>'1. a. mell.Műk. bev. és kiad.'!D12</f>
        <v>260000</v>
      </c>
      <c r="D12" s="18">
        <f aca="true" t="shared" si="0" ref="D12:E15">C12*1.035</f>
        <v>269100</v>
      </c>
      <c r="E12" s="104">
        <f t="shared" si="0"/>
        <v>278519</v>
      </c>
    </row>
    <row r="13" spans="1:5" ht="15" customHeight="1">
      <c r="A13" s="47"/>
      <c r="B13" s="7" t="s">
        <v>170</v>
      </c>
      <c r="C13" s="18">
        <f>'1. a. mell.Műk. bev. és kiad.'!D13</f>
        <v>50000</v>
      </c>
      <c r="D13" s="18">
        <f t="shared" si="0"/>
        <v>51750</v>
      </c>
      <c r="E13" s="104">
        <f t="shared" si="0"/>
        <v>53561</v>
      </c>
    </row>
    <row r="14" spans="1:5" ht="15" customHeight="1">
      <c r="A14" s="47"/>
      <c r="B14" s="7" t="s">
        <v>303</v>
      </c>
      <c r="C14" s="18">
        <f>'1. a. mell.Műk. bev. és kiad.'!D14</f>
        <v>6039049</v>
      </c>
      <c r="D14" s="18">
        <f t="shared" si="0"/>
        <v>6250416</v>
      </c>
      <c r="E14" s="104">
        <f t="shared" si="0"/>
        <v>6469181</v>
      </c>
    </row>
    <row r="15" spans="1:5" ht="15" customHeight="1">
      <c r="A15" s="47"/>
      <c r="B15" s="7" t="s">
        <v>306</v>
      </c>
      <c r="C15" s="18">
        <f>'1. a. mell.Műk. bev. és kiad.'!D15</f>
        <v>35000</v>
      </c>
      <c r="D15" s="18">
        <f t="shared" si="0"/>
        <v>36225</v>
      </c>
      <c r="E15" s="104">
        <f t="shared" si="0"/>
        <v>37493</v>
      </c>
    </row>
    <row r="16" spans="1:5" s="191" customFormat="1" ht="15" customHeight="1">
      <c r="A16" s="266" t="s">
        <v>101</v>
      </c>
      <c r="B16" s="11" t="s">
        <v>168</v>
      </c>
      <c r="C16" s="289">
        <f>SUM(C17:C19)</f>
        <v>948880</v>
      </c>
      <c r="D16" s="289">
        <f>SUM(D17:D18)</f>
        <v>972602</v>
      </c>
      <c r="E16" s="290">
        <f>SUM(E17:E18)</f>
        <v>996917</v>
      </c>
    </row>
    <row r="17" spans="1:5" ht="15" customHeight="1">
      <c r="A17" s="47"/>
      <c r="B17" s="9" t="s">
        <v>214</v>
      </c>
      <c r="C17" s="18">
        <f>'1. a. mell.Műk. bev. és kiad.'!D17</f>
        <v>348880</v>
      </c>
      <c r="D17" s="18">
        <f>C17*1.025</f>
        <v>357602</v>
      </c>
      <c r="E17" s="104">
        <f>D17*1.025</f>
        <v>366542</v>
      </c>
    </row>
    <row r="18" spans="1:5" ht="15" customHeight="1">
      <c r="A18" s="47"/>
      <c r="B18" s="9" t="s">
        <v>171</v>
      </c>
      <c r="C18" s="18">
        <f>'1. a. mell.Műk. bev. és kiad.'!D18</f>
        <v>600000</v>
      </c>
      <c r="D18" s="18">
        <f aca="true" t="shared" si="1" ref="D18:E23">C18*1.025</f>
        <v>615000</v>
      </c>
      <c r="E18" s="104">
        <f t="shared" si="1"/>
        <v>630375</v>
      </c>
    </row>
    <row r="19" spans="1:5" ht="15" customHeight="1">
      <c r="A19" s="47"/>
      <c r="B19" s="9" t="s">
        <v>304</v>
      </c>
      <c r="C19" s="18">
        <f>'1. a. mell.Műk. bev. és kiad.'!D19</f>
        <v>0</v>
      </c>
      <c r="D19" s="18">
        <f>C19*1.025</f>
        <v>0</v>
      </c>
      <c r="E19" s="104">
        <f>D19*1.025</f>
        <v>0</v>
      </c>
    </row>
    <row r="20" spans="1:5" s="191" customFormat="1" ht="24.75" customHeight="1">
      <c r="A20" s="266" t="s">
        <v>103</v>
      </c>
      <c r="B20" s="528" t="s">
        <v>566</v>
      </c>
      <c r="C20" s="289">
        <f>'1. a. mell.Műk. bev. és kiad.'!D20</f>
        <v>75000</v>
      </c>
      <c r="D20" s="289">
        <f t="shared" si="1"/>
        <v>76875</v>
      </c>
      <c r="E20" s="290">
        <f t="shared" si="1"/>
        <v>78797</v>
      </c>
    </row>
    <row r="21" spans="1:5" s="191" customFormat="1" ht="12.75" customHeight="1">
      <c r="A21" s="266" t="s">
        <v>104</v>
      </c>
      <c r="B21" s="528" t="s">
        <v>370</v>
      </c>
      <c r="C21" s="289">
        <f>'1. a. mell.Műk. bev. és kiad.'!D21</f>
        <v>89000</v>
      </c>
      <c r="D21" s="289">
        <f t="shared" si="1"/>
        <v>91225</v>
      </c>
      <c r="E21" s="290">
        <f t="shared" si="1"/>
        <v>93506</v>
      </c>
    </row>
    <row r="22" spans="1:5" ht="15" customHeight="1">
      <c r="A22" s="46" t="s">
        <v>45</v>
      </c>
      <c r="B22" s="3" t="s">
        <v>99</v>
      </c>
      <c r="C22" s="99">
        <f>+C23+C24+C25</f>
        <v>3496988</v>
      </c>
      <c r="D22" s="99">
        <f>+D23+D24+D25</f>
        <v>3584413</v>
      </c>
      <c r="E22" s="288">
        <f>+E23+E24+E25</f>
        <v>3674023</v>
      </c>
    </row>
    <row r="23" spans="1:5" ht="15" customHeight="1">
      <c r="A23" s="47" t="s">
        <v>100</v>
      </c>
      <c r="B23" s="7" t="s">
        <v>228</v>
      </c>
      <c r="C23" s="18">
        <f>'1. a. mell.Műk. bev. és kiad.'!D23</f>
        <v>3200273</v>
      </c>
      <c r="D23" s="18">
        <f t="shared" si="1"/>
        <v>3280280</v>
      </c>
      <c r="E23" s="104">
        <f t="shared" si="1"/>
        <v>3362287</v>
      </c>
    </row>
    <row r="24" spans="1:5" ht="15" customHeight="1">
      <c r="A24" s="47" t="s">
        <v>101</v>
      </c>
      <c r="B24" s="7" t="s">
        <v>133</v>
      </c>
      <c r="C24" s="18">
        <f>'1. a. mell.Műk. bev. és kiad.'!D24</f>
        <v>0</v>
      </c>
      <c r="D24" s="18">
        <f aca="true" t="shared" si="2" ref="D24:E26">C24*1.025</f>
        <v>0</v>
      </c>
      <c r="E24" s="104">
        <f t="shared" si="2"/>
        <v>0</v>
      </c>
    </row>
    <row r="25" spans="1:5" ht="15" customHeight="1">
      <c r="A25" s="47" t="s">
        <v>103</v>
      </c>
      <c r="B25" s="7" t="s">
        <v>134</v>
      </c>
      <c r="C25" s="18">
        <f>'1. a. mell.Műk. bev. és kiad.'!D25</f>
        <v>296715</v>
      </c>
      <c r="D25" s="18">
        <f t="shared" si="2"/>
        <v>304133</v>
      </c>
      <c r="E25" s="104">
        <f t="shared" si="2"/>
        <v>311736</v>
      </c>
    </row>
    <row r="26" spans="1:5" ht="15" customHeight="1">
      <c r="A26" s="47" t="s">
        <v>104</v>
      </c>
      <c r="B26" s="7" t="s">
        <v>561</v>
      </c>
      <c r="C26" s="18">
        <v>0</v>
      </c>
      <c r="D26" s="18">
        <f t="shared" si="2"/>
        <v>0</v>
      </c>
      <c r="E26" s="104">
        <f t="shared" si="2"/>
        <v>0</v>
      </c>
    </row>
    <row r="27" spans="1:5" ht="28.5" customHeight="1">
      <c r="A27" s="46" t="s">
        <v>47</v>
      </c>
      <c r="B27" s="3" t="s">
        <v>225</v>
      </c>
      <c r="C27" s="99">
        <f>+C28+C29+C30</f>
        <v>1028502</v>
      </c>
      <c r="D27" s="99">
        <f>+D28+D29+D30</f>
        <v>1054215</v>
      </c>
      <c r="E27" s="288">
        <f>+E28+E29+E30</f>
        <v>1084537</v>
      </c>
    </row>
    <row r="28" spans="1:5" ht="25.5" customHeight="1">
      <c r="A28" s="47" t="s">
        <v>100</v>
      </c>
      <c r="B28" s="17" t="s">
        <v>17</v>
      </c>
      <c r="C28" s="18">
        <f>'2. mell. Önálló int. összesen'!Y10</f>
        <v>0</v>
      </c>
      <c r="D28" s="18">
        <f aca="true" t="shared" si="3" ref="D28:E30">C28*1.025</f>
        <v>0</v>
      </c>
      <c r="E28" s="104">
        <f t="shared" si="3"/>
        <v>0</v>
      </c>
    </row>
    <row r="29" spans="1:5" ht="12.75" customHeight="1">
      <c r="A29" s="47" t="s">
        <v>101</v>
      </c>
      <c r="B29" s="17" t="s">
        <v>350</v>
      </c>
      <c r="C29" s="18">
        <f>'2. mell. Önálló int. összesen'!AE10</f>
        <v>770502</v>
      </c>
      <c r="D29" s="18">
        <f t="shared" si="3"/>
        <v>789765</v>
      </c>
      <c r="E29" s="104">
        <f t="shared" si="3"/>
        <v>809509</v>
      </c>
    </row>
    <row r="30" spans="1:5" ht="15" customHeight="1">
      <c r="A30" s="47" t="s">
        <v>103</v>
      </c>
      <c r="B30" s="7" t="s">
        <v>175</v>
      </c>
      <c r="C30" s="18">
        <f>+'2. mell. Önálló int. összesen'!AE16</f>
        <v>258000</v>
      </c>
      <c r="D30" s="18">
        <f t="shared" si="3"/>
        <v>264450</v>
      </c>
      <c r="E30" s="104">
        <f>+D30*1.04</f>
        <v>275028</v>
      </c>
    </row>
    <row r="31" spans="1:5" ht="29.25" customHeight="1">
      <c r="A31" s="46" t="s">
        <v>36</v>
      </c>
      <c r="B31" s="3" t="s">
        <v>164</v>
      </c>
      <c r="C31" s="99">
        <f>+C32+C33</f>
        <v>0</v>
      </c>
      <c r="D31" s="99">
        <f>+D32+D33</f>
        <v>0</v>
      </c>
      <c r="E31" s="288">
        <f>+E32+E33</f>
        <v>0</v>
      </c>
    </row>
    <row r="32" spans="1:5" ht="25.5" customHeight="1">
      <c r="A32" s="47" t="s">
        <v>100</v>
      </c>
      <c r="B32" s="17" t="s">
        <v>17</v>
      </c>
      <c r="C32" s="18"/>
      <c r="D32" s="18"/>
      <c r="E32" s="104"/>
    </row>
    <row r="33" spans="1:5" ht="12.75" customHeight="1">
      <c r="A33" s="47" t="s">
        <v>101</v>
      </c>
      <c r="B33" s="17" t="s">
        <v>350</v>
      </c>
      <c r="C33" s="18"/>
      <c r="D33" s="18"/>
      <c r="E33" s="104"/>
    </row>
    <row r="34" spans="1:5" ht="15" customHeight="1">
      <c r="A34" s="46" t="s">
        <v>50</v>
      </c>
      <c r="B34" s="3" t="s">
        <v>111</v>
      </c>
      <c r="C34" s="99"/>
      <c r="D34" s="18"/>
      <c r="E34" s="288"/>
    </row>
    <row r="35" spans="1:5" ht="15" customHeight="1">
      <c r="A35" s="46" t="s">
        <v>52</v>
      </c>
      <c r="B35" s="19" t="s">
        <v>113</v>
      </c>
      <c r="C35" s="99">
        <f>+C36+C37+C38</f>
        <v>0</v>
      </c>
      <c r="D35" s="99">
        <f>+D36+D37+D38</f>
        <v>0</v>
      </c>
      <c r="E35" s="288">
        <f>+E36+E37+E38</f>
        <v>0</v>
      </c>
    </row>
    <row r="36" spans="1:5" ht="15" customHeight="1">
      <c r="A36" s="47" t="s">
        <v>100</v>
      </c>
      <c r="B36" s="9" t="s">
        <v>114</v>
      </c>
      <c r="C36" s="18"/>
      <c r="D36" s="18"/>
      <c r="E36" s="104"/>
    </row>
    <row r="37" spans="1:5" ht="15" customHeight="1">
      <c r="A37" s="47" t="s">
        <v>101</v>
      </c>
      <c r="B37" s="9" t="s">
        <v>115</v>
      </c>
      <c r="C37" s="18"/>
      <c r="D37" s="99"/>
      <c r="E37" s="104"/>
    </row>
    <row r="38" spans="1:5" ht="15" customHeight="1">
      <c r="A38" s="47" t="s">
        <v>103</v>
      </c>
      <c r="B38" s="9" t="s">
        <v>161</v>
      </c>
      <c r="C38" s="18"/>
      <c r="D38" s="99"/>
      <c r="E38" s="104"/>
    </row>
    <row r="39" spans="1:5" ht="15" customHeight="1">
      <c r="A39" s="266"/>
      <c r="B39" s="4" t="s">
        <v>135</v>
      </c>
      <c r="C39" s="289">
        <f>+C35+C31+C27+C22+C9+C6</f>
        <v>15940065</v>
      </c>
      <c r="D39" s="289">
        <f>+D35+D31+D27+D22+D9+D6</f>
        <v>16408875</v>
      </c>
      <c r="E39" s="290">
        <f>+E35+E31+E27+E22+E9+E6</f>
        <v>16942971</v>
      </c>
    </row>
    <row r="40" spans="1:5" ht="15" customHeight="1">
      <c r="A40" s="266" t="s">
        <v>54</v>
      </c>
      <c r="B40" s="4" t="s">
        <v>129</v>
      </c>
      <c r="C40" s="289">
        <f>+C41+C42</f>
        <v>0</v>
      </c>
      <c r="D40" s="289">
        <f>+D41+D42</f>
        <v>0</v>
      </c>
      <c r="E40" s="290">
        <f>+E41+E42</f>
        <v>0</v>
      </c>
    </row>
    <row r="41" spans="1:5" ht="15" customHeight="1">
      <c r="A41" s="47"/>
      <c r="B41" s="7" t="s">
        <v>120</v>
      </c>
      <c r="C41" s="18"/>
      <c r="D41" s="99"/>
      <c r="E41" s="104"/>
    </row>
    <row r="42" spans="1:5" ht="15" customHeight="1">
      <c r="A42" s="47"/>
      <c r="B42" s="7" t="s">
        <v>226</v>
      </c>
      <c r="C42" s="18"/>
      <c r="D42" s="99"/>
      <c r="E42" s="104"/>
    </row>
    <row r="43" spans="1:5" ht="30" customHeight="1">
      <c r="A43" s="47" t="s">
        <v>55</v>
      </c>
      <c r="B43" s="180" t="s">
        <v>136</v>
      </c>
      <c r="C43" s="99">
        <f>+C40+C39</f>
        <v>15940065</v>
      </c>
      <c r="D43" s="99">
        <f>+D40+D39</f>
        <v>16408875</v>
      </c>
      <c r="E43" s="288">
        <f>+E40+E39</f>
        <v>16942971</v>
      </c>
    </row>
    <row r="44" spans="1:7" ht="15" customHeight="1">
      <c r="A44" s="291" t="s">
        <v>57</v>
      </c>
      <c r="B44" s="32" t="s">
        <v>120</v>
      </c>
      <c r="C44" s="249"/>
      <c r="D44" s="249"/>
      <c r="E44" s="292"/>
      <c r="G44" s="79"/>
    </row>
    <row r="45" spans="1:7" ht="15" customHeight="1">
      <c r="A45" s="47" t="s">
        <v>59</v>
      </c>
      <c r="B45" s="32" t="s">
        <v>165</v>
      </c>
      <c r="C45" s="99">
        <f>+C44+C43</f>
        <v>15940065</v>
      </c>
      <c r="D45" s="99">
        <f>+D44+D43</f>
        <v>16408875</v>
      </c>
      <c r="E45" s="288">
        <f>+E44+E43</f>
        <v>16942971</v>
      </c>
      <c r="G45" s="79"/>
    </row>
    <row r="46" spans="1:7" ht="15" customHeight="1" thickBot="1">
      <c r="A46" s="293"/>
      <c r="B46" s="294"/>
      <c r="C46" s="295"/>
      <c r="D46" s="296"/>
      <c r="E46" s="297"/>
      <c r="G46" s="79"/>
    </row>
    <row r="47" spans="1:5" ht="15" customHeight="1">
      <c r="A47" s="106"/>
      <c r="B47" s="271" t="s">
        <v>124</v>
      </c>
      <c r="C47" s="108"/>
      <c r="D47" s="108"/>
      <c r="E47" s="298"/>
    </row>
    <row r="48" spans="1:5" ht="27.75" customHeight="1">
      <c r="A48" s="47" t="s">
        <v>38</v>
      </c>
      <c r="B48" s="17" t="s">
        <v>351</v>
      </c>
      <c r="C48" s="18">
        <f>+'2. mell. Önálló int. összesen'!AE22-'2. mell. Önálló int. összesen'!AB22</f>
        <v>11204358</v>
      </c>
      <c r="D48" s="18">
        <f>(C48*1.025)+91225</f>
        <v>11575692</v>
      </c>
      <c r="E48" s="104">
        <f>(D48*1.025)+1</f>
        <v>11865085</v>
      </c>
    </row>
    <row r="49" spans="1:5" ht="38.25" customHeight="1">
      <c r="A49" s="47" t="s">
        <v>43</v>
      </c>
      <c r="B49" s="7" t="s">
        <v>352</v>
      </c>
      <c r="C49" s="18">
        <f>'1. a. mell.Műk. bev. és kiad.'!D47</f>
        <v>1621542</v>
      </c>
      <c r="D49" s="18">
        <f aca="true" t="shared" si="4" ref="D49:E53">C49*1.025</f>
        <v>1662081</v>
      </c>
      <c r="E49" s="104">
        <f t="shared" si="4"/>
        <v>1703633</v>
      </c>
    </row>
    <row r="50" spans="1:5" ht="15" customHeight="1">
      <c r="A50" s="47" t="s">
        <v>47</v>
      </c>
      <c r="B50" s="7" t="s">
        <v>192</v>
      </c>
      <c r="C50" s="18">
        <f>'5.mell.átadott'!D48</f>
        <v>748050</v>
      </c>
      <c r="D50" s="18">
        <f t="shared" si="4"/>
        <v>766751</v>
      </c>
      <c r="E50" s="104">
        <f t="shared" si="4"/>
        <v>785920</v>
      </c>
    </row>
    <row r="51" spans="1:5" ht="15" customHeight="1">
      <c r="A51" s="47" t="s">
        <v>36</v>
      </c>
      <c r="B51" s="7" t="s">
        <v>125</v>
      </c>
      <c r="C51" s="18">
        <f>'1. a. mell.Műk. bev. és kiad.'!D49</f>
        <v>930550</v>
      </c>
      <c r="D51" s="18">
        <f t="shared" si="4"/>
        <v>953814</v>
      </c>
      <c r="E51" s="104">
        <f t="shared" si="4"/>
        <v>977659</v>
      </c>
    </row>
    <row r="52" spans="1:5" ht="15" customHeight="1">
      <c r="A52" s="47" t="s">
        <v>50</v>
      </c>
      <c r="B52" s="7" t="s">
        <v>126</v>
      </c>
      <c r="C52" s="18"/>
      <c r="D52" s="18"/>
      <c r="E52" s="104"/>
    </row>
    <row r="53" spans="1:5" ht="15" customHeight="1">
      <c r="A53" s="47" t="s">
        <v>52</v>
      </c>
      <c r="B53" s="7" t="s">
        <v>137</v>
      </c>
      <c r="C53" s="18">
        <f>'6. mell.tartalékok'!D55</f>
        <v>561335</v>
      </c>
      <c r="D53" s="18">
        <f t="shared" si="4"/>
        <v>575368</v>
      </c>
      <c r="E53" s="104">
        <f>D53*1.025</f>
        <v>589752</v>
      </c>
    </row>
    <row r="54" spans="1:5" s="87" customFormat="1" ht="15" customHeight="1">
      <c r="A54" s="46" t="s">
        <v>91</v>
      </c>
      <c r="B54" s="3" t="s">
        <v>138</v>
      </c>
      <c r="C54" s="99">
        <f>SUM(C48:C53)</f>
        <v>15065835</v>
      </c>
      <c r="D54" s="99">
        <f>SUM(D48:D53)</f>
        <v>15533706</v>
      </c>
      <c r="E54" s="288">
        <f>SUM(E48:E53)</f>
        <v>15922049</v>
      </c>
    </row>
    <row r="55" spans="1:5" s="87" customFormat="1" ht="15" customHeight="1">
      <c r="A55" s="46" t="s">
        <v>97</v>
      </c>
      <c r="B55" s="3" t="s">
        <v>354</v>
      </c>
      <c r="C55" s="99"/>
      <c r="D55" s="99"/>
      <c r="E55" s="288"/>
    </row>
    <row r="56" spans="1:5" ht="15" customHeight="1">
      <c r="A56" s="47">
        <v>8</v>
      </c>
      <c r="B56" s="7" t="s">
        <v>213</v>
      </c>
      <c r="C56" s="99"/>
      <c r="D56" s="99"/>
      <c r="E56" s="288"/>
    </row>
    <row r="57" spans="1:5" ht="15" customHeight="1">
      <c r="A57" s="47" t="s">
        <v>55</v>
      </c>
      <c r="B57" s="20" t="s">
        <v>353</v>
      </c>
      <c r="C57" s="99"/>
      <c r="D57" s="99"/>
      <c r="E57" s="288"/>
    </row>
    <row r="58" spans="1:7" s="191" customFormat="1" ht="15" customHeight="1">
      <c r="A58" s="266"/>
      <c r="B58" s="118" t="s">
        <v>139</v>
      </c>
      <c r="C58" s="289">
        <f>+C57+C54+C56</f>
        <v>15065835</v>
      </c>
      <c r="D58" s="289">
        <f>+D57+D54+D56</f>
        <v>15533706</v>
      </c>
      <c r="E58" s="290">
        <f>+E57+E54+E56</f>
        <v>15922049</v>
      </c>
      <c r="G58" s="527"/>
    </row>
    <row r="59" spans="1:7" ht="15" customHeight="1" thickBot="1">
      <c r="A59" s="244"/>
      <c r="B59" s="276" t="s">
        <v>140</v>
      </c>
      <c r="C59" s="277">
        <f>+C45-C58</f>
        <v>874230</v>
      </c>
      <c r="D59" s="277">
        <f>+D45-D58</f>
        <v>875169</v>
      </c>
      <c r="E59" s="278">
        <f>+E45-E58</f>
        <v>1020922</v>
      </c>
      <c r="G59" s="79"/>
    </row>
    <row r="60" ht="15" customHeight="1">
      <c r="G60" s="79"/>
    </row>
    <row r="61" ht="15" customHeight="1"/>
    <row r="62" ht="15" customHeight="1"/>
  </sheetData>
  <sheetProtection/>
  <mergeCells count="5">
    <mergeCell ref="E2:E3"/>
    <mergeCell ref="A2:A3"/>
    <mergeCell ref="B2:B3"/>
    <mergeCell ref="C2:C3"/>
    <mergeCell ref="D2:D3"/>
  </mergeCells>
  <printOptions horizontalCentered="1" verticalCentered="1"/>
  <pageMargins left="0.7874015748031497" right="0.7874015748031497" top="1.299212598425197" bottom="0.984251968503937" header="0.5118110236220472" footer="0.5118110236220472"/>
  <pageSetup horizontalDpi="300" verticalDpi="300" orientation="portrait" paperSize="9" scale="87" r:id="rId2"/>
  <headerFooter alignWithMargins="0">
    <oddHeader>&amp;C&amp;"Times New Roman,Félkövér"A  9/2012. (II. 24.) önko. rend.-hez a Budapest Főváros IV. kerület Újpest Önkormányzat működési célú bevételeinek és kiadásainak mérlegéről gördülő tervezésben &amp;R
&amp;"Times New Roman,Normál"11. a.  sz. melléklet
eFt-ban</oddHeader>
    <oddFooter>&amp;C&amp;"Times New Roman,Normál"&amp;P</oddFooter>
  </headerFooter>
  <rowBreaks count="1" manualBreakCount="1">
    <brk id="46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H44" sqref="H44"/>
    </sheetView>
  </sheetViews>
  <sheetFormatPr defaultColWidth="9.140625" defaultRowHeight="12.75"/>
  <cols>
    <col min="1" max="1" width="7.421875" style="33" customWidth="1"/>
    <col min="2" max="2" width="65.28125" style="33" customWidth="1"/>
    <col min="3" max="5" width="9.421875" style="33" bestFit="1" customWidth="1"/>
    <col min="6" max="7" width="9.140625" style="33" customWidth="1"/>
    <col min="8" max="8" width="9.7109375" style="33" bestFit="1" customWidth="1"/>
    <col min="9" max="16384" width="9.140625" style="33" customWidth="1"/>
  </cols>
  <sheetData>
    <row r="1" spans="1:5" ht="12.75">
      <c r="A1" s="232"/>
      <c r="B1" s="233"/>
      <c r="C1" s="234"/>
      <c r="D1" s="234"/>
      <c r="E1" s="235"/>
    </row>
    <row r="2" spans="1:5" s="31" customFormat="1" ht="12.75" customHeight="1">
      <c r="A2" s="752" t="s">
        <v>287</v>
      </c>
      <c r="B2" s="769" t="s">
        <v>88</v>
      </c>
      <c r="C2" s="769" t="s">
        <v>288</v>
      </c>
      <c r="D2" s="769" t="s">
        <v>289</v>
      </c>
      <c r="E2" s="766" t="s">
        <v>290</v>
      </c>
    </row>
    <row r="3" spans="1:5" s="31" customFormat="1" ht="12.75">
      <c r="A3" s="768"/>
      <c r="B3" s="770"/>
      <c r="C3" s="771"/>
      <c r="D3" s="771"/>
      <c r="E3" s="767"/>
    </row>
    <row r="4" spans="1:5" ht="12.75">
      <c r="A4" s="236" t="s">
        <v>38</v>
      </c>
      <c r="B4" s="116" t="s">
        <v>43</v>
      </c>
      <c r="C4" s="117" t="s">
        <v>45</v>
      </c>
      <c r="D4" s="117" t="s">
        <v>47</v>
      </c>
      <c r="E4" s="237" t="s">
        <v>36</v>
      </c>
    </row>
    <row r="5" spans="1:5" ht="12.75">
      <c r="A5" s="129"/>
      <c r="B5" s="75" t="s">
        <v>141</v>
      </c>
      <c r="C5" s="20"/>
      <c r="D5" s="20"/>
      <c r="E5" s="238"/>
    </row>
    <row r="6" spans="1:5" ht="12.75">
      <c r="A6" s="46" t="s">
        <v>38</v>
      </c>
      <c r="B6" s="12" t="s">
        <v>106</v>
      </c>
      <c r="C6" s="23">
        <f>+C7+C8+C9</f>
        <v>112998</v>
      </c>
      <c r="D6" s="23">
        <f>+D7+D8+D9</f>
        <v>115823</v>
      </c>
      <c r="E6" s="239">
        <f>+E7+E8+E9</f>
        <v>118718</v>
      </c>
    </row>
    <row r="7" spans="1:5" ht="17.25" customHeight="1">
      <c r="A7" s="47" t="s">
        <v>100</v>
      </c>
      <c r="B7" s="20" t="s">
        <v>210</v>
      </c>
      <c r="C7" s="24"/>
      <c r="D7" s="24"/>
      <c r="E7" s="72"/>
    </row>
    <row r="8" spans="1:5" ht="15.75" customHeight="1">
      <c r="A8" s="47" t="s">
        <v>101</v>
      </c>
      <c r="B8" s="20" t="s">
        <v>384</v>
      </c>
      <c r="C8" s="24">
        <f>'1.b. Felh. bev. és kiad.'!D8</f>
        <v>107998</v>
      </c>
      <c r="D8" s="24">
        <f>C8*1.025</f>
        <v>110698</v>
      </c>
      <c r="E8" s="72">
        <f>D8*1.025</f>
        <v>113465</v>
      </c>
    </row>
    <row r="9" spans="1:5" ht="14.25" customHeight="1">
      <c r="A9" s="47" t="s">
        <v>103</v>
      </c>
      <c r="B9" s="20" t="s">
        <v>142</v>
      </c>
      <c r="C9" s="24">
        <f>'1.b. Felh. bev. és kiad.'!D9</f>
        <v>5000</v>
      </c>
      <c r="D9" s="24">
        <f>C9*1.025</f>
        <v>5125</v>
      </c>
      <c r="E9" s="72">
        <f>D9*1.025</f>
        <v>5253</v>
      </c>
    </row>
    <row r="10" spans="1:5" ht="12.75">
      <c r="A10" s="46" t="s">
        <v>43</v>
      </c>
      <c r="B10" s="12" t="s">
        <v>143</v>
      </c>
      <c r="C10" s="23">
        <f>+C11+C12</f>
        <v>0</v>
      </c>
      <c r="D10" s="23">
        <v>0</v>
      </c>
      <c r="E10" s="239">
        <f>+E11+E12</f>
        <v>0</v>
      </c>
    </row>
    <row r="11" spans="1:5" ht="12.75">
      <c r="A11" s="47" t="s">
        <v>100</v>
      </c>
      <c r="B11" s="20" t="s">
        <v>144</v>
      </c>
      <c r="C11" s="24"/>
      <c r="D11" s="24"/>
      <c r="E11" s="72"/>
    </row>
    <row r="12" spans="1:5" ht="12.75">
      <c r="A12" s="130" t="s">
        <v>101</v>
      </c>
      <c r="B12" s="20" t="s">
        <v>18</v>
      </c>
      <c r="C12" s="27"/>
      <c r="D12" s="27"/>
      <c r="E12" s="240"/>
    </row>
    <row r="13" spans="1:5" ht="12.75">
      <c r="A13" s="46" t="s">
        <v>45</v>
      </c>
      <c r="B13" s="12" t="s">
        <v>242</v>
      </c>
      <c r="C13" s="23">
        <f>+C14+C15+C16</f>
        <v>470906</v>
      </c>
      <c r="D13" s="23">
        <f>+D14+D15+D16</f>
        <v>482679</v>
      </c>
      <c r="E13" s="239">
        <f>+E14+E15+E16</f>
        <v>494746</v>
      </c>
    </row>
    <row r="14" spans="1:5" ht="12.75">
      <c r="A14" s="47" t="s">
        <v>100</v>
      </c>
      <c r="B14" s="17" t="s">
        <v>17</v>
      </c>
      <c r="C14" s="24"/>
      <c r="D14" s="24"/>
      <c r="E14" s="72"/>
    </row>
    <row r="15" spans="1:5" ht="12.75">
      <c r="A15" s="47" t="s">
        <v>101</v>
      </c>
      <c r="B15" s="17" t="s">
        <v>350</v>
      </c>
      <c r="C15" s="24">
        <f>'1.b. Felh. bev. és kiad.'!D15</f>
        <v>470906</v>
      </c>
      <c r="D15" s="24">
        <f>C15*1.025</f>
        <v>482679</v>
      </c>
      <c r="E15" s="72">
        <f>D15*1.025</f>
        <v>494746</v>
      </c>
    </row>
    <row r="16" spans="1:5" ht="12.75">
      <c r="A16" s="47" t="s">
        <v>103</v>
      </c>
      <c r="B16" s="20" t="s">
        <v>574</v>
      </c>
      <c r="C16" s="24"/>
      <c r="D16" s="24"/>
      <c r="E16" s="72"/>
    </row>
    <row r="17" spans="1:5" ht="12.75">
      <c r="A17" s="46" t="s">
        <v>47</v>
      </c>
      <c r="B17" s="12" t="s">
        <v>160</v>
      </c>
      <c r="C17" s="23">
        <f>+C18+C19</f>
        <v>300</v>
      </c>
      <c r="D17" s="23">
        <f>+D18+D19</f>
        <v>308</v>
      </c>
      <c r="E17" s="239">
        <f>+E18+E19</f>
        <v>316</v>
      </c>
    </row>
    <row r="18" spans="1:5" ht="12.75">
      <c r="A18" s="47" t="s">
        <v>100</v>
      </c>
      <c r="B18" s="17" t="s">
        <v>17</v>
      </c>
      <c r="C18" s="24">
        <f>'1.b. Felh. bev. és kiad.'!D18</f>
        <v>300</v>
      </c>
      <c r="D18" s="24">
        <f>C18*1.025</f>
        <v>308</v>
      </c>
      <c r="E18" s="72">
        <f>D18*1.025</f>
        <v>316</v>
      </c>
    </row>
    <row r="19" spans="1:5" ht="12.75">
      <c r="A19" s="47" t="s">
        <v>101</v>
      </c>
      <c r="B19" s="17" t="s">
        <v>350</v>
      </c>
      <c r="C19" s="24"/>
      <c r="D19" s="24"/>
      <c r="E19" s="72"/>
    </row>
    <row r="20" spans="1:5" ht="12.75">
      <c r="A20" s="46" t="s">
        <v>36</v>
      </c>
      <c r="B20" s="12" t="s">
        <v>113</v>
      </c>
      <c r="C20" s="26">
        <f>+C21+C22+C23</f>
        <v>0</v>
      </c>
      <c r="D20" s="26">
        <f>+D21+D22+D23</f>
        <v>0</v>
      </c>
      <c r="E20" s="241">
        <f>+E21+E22+E23</f>
        <v>0</v>
      </c>
    </row>
    <row r="21" spans="1:5" ht="15" customHeight="1">
      <c r="A21" s="47" t="s">
        <v>100</v>
      </c>
      <c r="B21" s="9" t="s">
        <v>114</v>
      </c>
      <c r="C21" s="27"/>
      <c r="D21" s="27"/>
      <c r="E21" s="240"/>
    </row>
    <row r="22" spans="1:5" ht="15" customHeight="1">
      <c r="A22" s="47" t="s">
        <v>101</v>
      </c>
      <c r="B22" s="9" t="s">
        <v>115</v>
      </c>
      <c r="C22" s="27"/>
      <c r="D22" s="27"/>
      <c r="E22" s="240"/>
    </row>
    <row r="23" spans="1:5" ht="15" customHeight="1">
      <c r="A23" s="47" t="s">
        <v>103</v>
      </c>
      <c r="B23" s="9" t="s">
        <v>161</v>
      </c>
      <c r="C23" s="27"/>
      <c r="D23" s="27"/>
      <c r="E23" s="240"/>
    </row>
    <row r="24" spans="1:5" ht="15" customHeight="1">
      <c r="A24" s="46" t="s">
        <v>50</v>
      </c>
      <c r="B24" s="23" t="s">
        <v>145</v>
      </c>
      <c r="C24" s="23">
        <f>'1.b. Felh. bev. és kiad.'!D24</f>
        <v>16500</v>
      </c>
      <c r="D24" s="26">
        <f>C24*1.025</f>
        <v>16913</v>
      </c>
      <c r="E24" s="241">
        <f>D24*1.025</f>
        <v>17336</v>
      </c>
    </row>
    <row r="25" spans="1:5" ht="15" customHeight="1">
      <c r="A25" s="46" t="s">
        <v>91</v>
      </c>
      <c r="B25" s="12" t="s">
        <v>146</v>
      </c>
      <c r="C25" s="23">
        <f>+C24+C20+C17+C13+C10+C6</f>
        <v>600704</v>
      </c>
      <c r="D25" s="23">
        <f>+D24+D20+D17+D13+D10+D6</f>
        <v>615723</v>
      </c>
      <c r="E25" s="239">
        <f>+E24+E20+E17+E13+E10+E6</f>
        <v>631116</v>
      </c>
    </row>
    <row r="26" spans="1:5" ht="15" customHeight="1">
      <c r="A26" s="46" t="s">
        <v>97</v>
      </c>
      <c r="B26" s="19" t="s">
        <v>354</v>
      </c>
      <c r="C26" s="23">
        <f>+C27</f>
        <v>0</v>
      </c>
      <c r="D26" s="23">
        <f>+D27</f>
        <v>0</v>
      </c>
      <c r="E26" s="239">
        <f>+E27</f>
        <v>0</v>
      </c>
    </row>
    <row r="27" spans="1:5" ht="15" customHeight="1">
      <c r="A27" s="46"/>
      <c r="B27" s="24" t="s">
        <v>147</v>
      </c>
      <c r="C27" s="24"/>
      <c r="D27" s="24"/>
      <c r="E27" s="72"/>
    </row>
    <row r="28" spans="1:5" ht="13.5" customHeight="1">
      <c r="A28" s="46"/>
      <c r="B28" s="12" t="s">
        <v>148</v>
      </c>
      <c r="C28" s="23">
        <f>+C26+C25</f>
        <v>600704</v>
      </c>
      <c r="D28" s="23">
        <f>+D26+D25</f>
        <v>615723</v>
      </c>
      <c r="E28" s="239">
        <f>+E26+E25</f>
        <v>631116</v>
      </c>
    </row>
    <row r="29" spans="1:5" ht="13.5" customHeight="1">
      <c r="A29" s="47" t="s">
        <v>38</v>
      </c>
      <c r="B29" s="7" t="s">
        <v>360</v>
      </c>
      <c r="C29" s="23"/>
      <c r="D29" s="23"/>
      <c r="E29" s="239"/>
    </row>
    <row r="30" spans="1:5" ht="15" customHeight="1">
      <c r="A30" s="47" t="s">
        <v>43</v>
      </c>
      <c r="B30" s="20" t="s">
        <v>123</v>
      </c>
      <c r="C30" s="23">
        <f>'1.b. Felh. bev. és kiad.'!D28</f>
        <v>0</v>
      </c>
      <c r="D30" s="23">
        <f>C30*1.025</f>
        <v>0</v>
      </c>
      <c r="E30" s="239">
        <f>D30*1.025</f>
        <v>0</v>
      </c>
    </row>
    <row r="31" spans="1:8" ht="31.5" customHeight="1">
      <c r="A31" s="46"/>
      <c r="B31" s="21" t="s">
        <v>371</v>
      </c>
      <c r="C31" s="23">
        <f>+C30+C28</f>
        <v>600704</v>
      </c>
      <c r="D31" s="23">
        <f>+D30+D28</f>
        <v>615723</v>
      </c>
      <c r="E31" s="239">
        <f>+E30+E28</f>
        <v>631116</v>
      </c>
      <c r="H31" s="43"/>
    </row>
    <row r="32" spans="1:8" ht="15" customHeight="1">
      <c r="A32" s="100"/>
      <c r="B32" s="28"/>
      <c r="C32" s="185"/>
      <c r="D32" s="185"/>
      <c r="E32" s="71"/>
      <c r="H32" s="43"/>
    </row>
    <row r="33" spans="1:8" ht="15" customHeight="1">
      <c r="A33" s="242"/>
      <c r="B33" s="12" t="s">
        <v>149</v>
      </c>
      <c r="C33" s="24"/>
      <c r="D33" s="24"/>
      <c r="E33" s="72"/>
      <c r="H33" s="43"/>
    </row>
    <row r="34" spans="1:5" ht="15" customHeight="1">
      <c r="A34" s="132" t="s">
        <v>38</v>
      </c>
      <c r="B34" s="20" t="s">
        <v>229</v>
      </c>
      <c r="C34" s="24">
        <f>'2. mell. Önálló int. összesen'!Y29+'3.b.mell.Önko.felúj.'!D9</f>
        <v>165783</v>
      </c>
      <c r="D34" s="24">
        <f aca="true" t="shared" si="0" ref="D34:E36">C34*1.01</f>
        <v>167441</v>
      </c>
      <c r="E34" s="72">
        <f t="shared" si="0"/>
        <v>169115</v>
      </c>
    </row>
    <row r="35" spans="1:5" ht="15" customHeight="1">
      <c r="A35" s="132" t="s">
        <v>43</v>
      </c>
      <c r="B35" s="20" t="s">
        <v>525</v>
      </c>
      <c r="C35" s="27">
        <f>'2. mell. Önálló int. összesen'!Y30+'4.b.mell.Önko.beruházás'!D36</f>
        <v>846771</v>
      </c>
      <c r="D35" s="24">
        <f t="shared" si="0"/>
        <v>855239</v>
      </c>
      <c r="E35" s="72">
        <f t="shared" si="0"/>
        <v>863791</v>
      </c>
    </row>
    <row r="36" spans="1:5" ht="15" customHeight="1">
      <c r="A36" s="132" t="s">
        <v>45</v>
      </c>
      <c r="B36" s="20" t="s">
        <v>150</v>
      </c>
      <c r="C36" s="27">
        <f>'6. mell.tartalékok'!D61</f>
        <v>381880</v>
      </c>
      <c r="D36" s="24">
        <f t="shared" si="0"/>
        <v>385699</v>
      </c>
      <c r="E36" s="72">
        <f t="shared" si="0"/>
        <v>389556</v>
      </c>
    </row>
    <row r="37" spans="1:5" ht="15" customHeight="1">
      <c r="A37" s="132" t="s">
        <v>47</v>
      </c>
      <c r="B37" s="68" t="s">
        <v>191</v>
      </c>
      <c r="C37" s="24">
        <f>'5.mell.átadott'!D62</f>
        <v>64000</v>
      </c>
      <c r="D37" s="24">
        <f>C37*1.025</f>
        <v>65600</v>
      </c>
      <c r="E37" s="72">
        <f>D37*1.025</f>
        <v>67240</v>
      </c>
    </row>
    <row r="38" spans="1:5" ht="15" customHeight="1">
      <c r="A38" s="132" t="s">
        <v>36</v>
      </c>
      <c r="B38" s="24" t="s">
        <v>209</v>
      </c>
      <c r="C38" s="24"/>
      <c r="D38" s="24"/>
      <c r="E38" s="72"/>
    </row>
    <row r="39" spans="1:5" ht="15" customHeight="1">
      <c r="A39" s="132" t="s">
        <v>50</v>
      </c>
      <c r="B39" s="24" t="s">
        <v>151</v>
      </c>
      <c r="C39" s="24">
        <f>'1.b. Felh. bev. és kiad.'!D36</f>
        <v>16500</v>
      </c>
      <c r="D39" s="24">
        <f>C39*1.025</f>
        <v>16913</v>
      </c>
      <c r="E39" s="72">
        <f>D39*1.025</f>
        <v>17336</v>
      </c>
    </row>
    <row r="40" spans="1:5" ht="15" customHeight="1">
      <c r="A40" s="132" t="s">
        <v>52</v>
      </c>
      <c r="B40" s="20" t="s">
        <v>174</v>
      </c>
      <c r="C40" s="24"/>
      <c r="D40" s="24"/>
      <c r="E40" s="72"/>
    </row>
    <row r="41" spans="1:5" ht="15" customHeight="1">
      <c r="A41" s="132" t="s">
        <v>54</v>
      </c>
      <c r="B41" s="20" t="s">
        <v>216</v>
      </c>
      <c r="C41" s="24"/>
      <c r="D41" s="24"/>
      <c r="E41" s="72">
        <v>145000</v>
      </c>
    </row>
    <row r="42" spans="1:5" ht="12.75">
      <c r="A42" s="46"/>
      <c r="B42" s="12" t="s">
        <v>152</v>
      </c>
      <c r="C42" s="23">
        <f>SUM(C34:C41)</f>
        <v>1474934</v>
      </c>
      <c r="D42" s="23">
        <f>SUM(D34:D41)</f>
        <v>1490892</v>
      </c>
      <c r="E42" s="239">
        <f>SUM(E34:E41)</f>
        <v>1652038</v>
      </c>
    </row>
    <row r="43" spans="1:5" ht="12.75">
      <c r="A43" s="46" t="s">
        <v>55</v>
      </c>
      <c r="B43" s="12" t="s">
        <v>129</v>
      </c>
      <c r="C43" s="23"/>
      <c r="D43" s="23"/>
      <c r="E43" s="239"/>
    </row>
    <row r="44" spans="1:8" ht="12.75">
      <c r="A44" s="279"/>
      <c r="B44" s="12" t="s">
        <v>153</v>
      </c>
      <c r="C44" s="26">
        <f>+C43+C42</f>
        <v>1474934</v>
      </c>
      <c r="D44" s="26">
        <f>+D43+D42</f>
        <v>1490892</v>
      </c>
      <c r="E44" s="241">
        <f>+E43+E42</f>
        <v>1652038</v>
      </c>
      <c r="H44" s="43"/>
    </row>
    <row r="45" spans="1:8" ht="13.5" thickBot="1">
      <c r="A45" s="244"/>
      <c r="B45" s="245" t="s">
        <v>154</v>
      </c>
      <c r="C45" s="246">
        <f>+C31-C44</f>
        <v>-874230</v>
      </c>
      <c r="D45" s="246">
        <f>+D31-D44</f>
        <v>-875169</v>
      </c>
      <c r="E45" s="247">
        <f>+E31-E44</f>
        <v>-1020922</v>
      </c>
      <c r="H45" s="43"/>
    </row>
    <row r="46" spans="1:8" ht="12.75">
      <c r="A46" s="29"/>
      <c r="B46" s="29"/>
      <c r="C46" s="30"/>
      <c r="D46" s="30"/>
      <c r="E46" s="30"/>
      <c r="H46" s="43"/>
    </row>
  </sheetData>
  <sheetProtection/>
  <mergeCells count="5">
    <mergeCell ref="E2:E3"/>
    <mergeCell ref="A2:A3"/>
    <mergeCell ref="B2:B3"/>
    <mergeCell ref="C2:C3"/>
    <mergeCell ref="D2:D3"/>
  </mergeCells>
  <printOptions horizontalCentered="1" verticalCentered="1"/>
  <pageMargins left="0.7874015748031497" right="0.7874015748031497" top="1.141732283464567" bottom="0.984251968503937" header="0.5118110236220472" footer="0.5118110236220472"/>
  <pageSetup horizontalDpi="300" verticalDpi="300" orientation="portrait" paperSize="9" scale="84" r:id="rId2"/>
  <headerFooter alignWithMargins="0">
    <oddHeader>&amp;C&amp;"Times New Roman,Félkövér"A  9/2012. (II. 24.) önko. rend.-hez a Budapest Főváros IV. kerület Újpest Önkormányzat felhalmozási célú bevételeinek és kiadásainak mérlegéről gördülő tervezésben&amp;R
&amp;"Times New Roman,Normál"11. b. sz. melléklet
eFt-ban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1">
      <selection activeCell="I8" sqref="I8:I10"/>
    </sheetView>
  </sheetViews>
  <sheetFormatPr defaultColWidth="9.140625" defaultRowHeight="12.75"/>
  <cols>
    <col min="1" max="1" width="9.140625" style="33" customWidth="1"/>
    <col min="2" max="2" width="67.00390625" style="33" customWidth="1"/>
    <col min="3" max="3" width="12.421875" style="33" customWidth="1"/>
    <col min="4" max="4" width="11.00390625" style="33" customWidth="1"/>
    <col min="5" max="5" width="12.00390625" style="33" customWidth="1"/>
    <col min="6" max="16384" width="9.140625" style="33" customWidth="1"/>
  </cols>
  <sheetData>
    <row r="1" spans="1:5" ht="13.5" thickBot="1">
      <c r="A1" s="134"/>
      <c r="B1" s="140"/>
      <c r="C1" s="135"/>
      <c r="D1" s="141"/>
      <c r="E1" s="141" t="s">
        <v>86</v>
      </c>
    </row>
    <row r="2" spans="1:5" s="31" customFormat="1" ht="12.75">
      <c r="A2" s="695" t="s">
        <v>87</v>
      </c>
      <c r="B2" s="693" t="s">
        <v>88</v>
      </c>
      <c r="C2" s="693" t="s">
        <v>315</v>
      </c>
      <c r="D2" s="693" t="s">
        <v>294</v>
      </c>
      <c r="E2" s="691" t="s">
        <v>35</v>
      </c>
    </row>
    <row r="3" spans="1:5" s="31" customFormat="1" ht="12.75">
      <c r="A3" s="698"/>
      <c r="B3" s="699"/>
      <c r="C3" s="694"/>
      <c r="D3" s="694"/>
      <c r="E3" s="692"/>
    </row>
    <row r="4" spans="1:5" ht="13.5" thickBot="1">
      <c r="A4" s="61" t="s">
        <v>38</v>
      </c>
      <c r="B4" s="133" t="s">
        <v>43</v>
      </c>
      <c r="C4" s="62" t="s">
        <v>45</v>
      </c>
      <c r="D4" s="62" t="s">
        <v>47</v>
      </c>
      <c r="E4" s="128" t="s">
        <v>36</v>
      </c>
    </row>
    <row r="5" spans="1:5" ht="12.75">
      <c r="A5" s="129"/>
      <c r="B5" s="75" t="s">
        <v>141</v>
      </c>
      <c r="C5" s="69"/>
      <c r="D5" s="69"/>
      <c r="E5" s="76"/>
    </row>
    <row r="6" spans="1:5" ht="15" customHeight="1">
      <c r="A6" s="46" t="s">
        <v>38</v>
      </c>
      <c r="B6" s="12" t="s">
        <v>106</v>
      </c>
      <c r="C6" s="12">
        <f>+C7+C8+C9</f>
        <v>123723</v>
      </c>
      <c r="D6" s="12">
        <f>+D7+D8+D9</f>
        <v>112998</v>
      </c>
      <c r="E6" s="70">
        <f>+D6/C6</f>
        <v>0.913</v>
      </c>
    </row>
    <row r="7" spans="1:5" ht="15" customHeight="1">
      <c r="A7" s="47" t="s">
        <v>100</v>
      </c>
      <c r="B7" s="20" t="s">
        <v>523</v>
      </c>
      <c r="C7" s="20"/>
      <c r="D7" s="20"/>
      <c r="E7" s="73"/>
    </row>
    <row r="8" spans="1:5" ht="15" customHeight="1">
      <c r="A8" s="47" t="s">
        <v>101</v>
      </c>
      <c r="B8" s="20" t="s">
        <v>384</v>
      </c>
      <c r="C8" s="20">
        <v>118723</v>
      </c>
      <c r="D8" s="20">
        <v>107998</v>
      </c>
      <c r="E8" s="73">
        <f>+D8/C8</f>
        <v>0.91</v>
      </c>
    </row>
    <row r="9" spans="1:5" ht="15" customHeight="1">
      <c r="A9" s="47" t="s">
        <v>103</v>
      </c>
      <c r="B9" s="20" t="s">
        <v>142</v>
      </c>
      <c r="C9" s="20">
        <v>5000</v>
      </c>
      <c r="D9" s="20">
        <v>5000</v>
      </c>
      <c r="E9" s="73">
        <f>+D9/C9</f>
        <v>1</v>
      </c>
    </row>
    <row r="10" spans="1:5" s="31" customFormat="1" ht="15" customHeight="1">
      <c r="A10" s="46" t="s">
        <v>43</v>
      </c>
      <c r="B10" s="12" t="s">
        <v>143</v>
      </c>
      <c r="C10" s="12">
        <f>+C11+C12</f>
        <v>0</v>
      </c>
      <c r="D10" s="12">
        <f>+D11+D12</f>
        <v>0</v>
      </c>
      <c r="E10" s="73"/>
    </row>
    <row r="11" spans="1:5" ht="15" customHeight="1">
      <c r="A11" s="47" t="s">
        <v>100</v>
      </c>
      <c r="B11" s="20" t="s">
        <v>144</v>
      </c>
      <c r="C11" s="20"/>
      <c r="D11" s="20"/>
      <c r="E11" s="73"/>
    </row>
    <row r="12" spans="1:5" ht="15" customHeight="1">
      <c r="A12" s="130" t="s">
        <v>101</v>
      </c>
      <c r="B12" s="20" t="s">
        <v>524</v>
      </c>
      <c r="C12" s="25"/>
      <c r="D12" s="25"/>
      <c r="E12" s="73"/>
    </row>
    <row r="13" spans="1:5" s="31" customFormat="1" ht="15" customHeight="1">
      <c r="A13" s="46" t="s">
        <v>45</v>
      </c>
      <c r="B13" s="12" t="s">
        <v>242</v>
      </c>
      <c r="C13" s="12">
        <f>+C14+C15+C16</f>
        <v>84000</v>
      </c>
      <c r="D13" s="12">
        <f>+D14+D15+D16</f>
        <v>470906</v>
      </c>
      <c r="E13" s="74">
        <f>+D13/C13</f>
        <v>5.606</v>
      </c>
    </row>
    <row r="14" spans="1:5" ht="15" customHeight="1">
      <c r="A14" s="47" t="s">
        <v>100</v>
      </c>
      <c r="B14" s="17" t="s">
        <v>17</v>
      </c>
      <c r="C14" s="20">
        <f>'2. mell. Önálló int. összesen'!X11</f>
        <v>0</v>
      </c>
      <c r="D14" s="20"/>
      <c r="E14" s="74"/>
    </row>
    <row r="15" spans="1:5" ht="15" customHeight="1">
      <c r="A15" s="47" t="s">
        <v>101</v>
      </c>
      <c r="B15" s="17" t="s">
        <v>350</v>
      </c>
      <c r="C15" s="20">
        <f>'2. mell. Önálló int. összesen'!AA11</f>
        <v>84000</v>
      </c>
      <c r="D15" s="20">
        <f>'2. mell. Önálló int. összesen'!AB11</f>
        <v>470906</v>
      </c>
      <c r="E15" s="74">
        <f>+D15/C15</f>
        <v>5.606</v>
      </c>
    </row>
    <row r="16" spans="1:5" ht="15" customHeight="1">
      <c r="A16" s="47" t="s">
        <v>103</v>
      </c>
      <c r="B16" s="20" t="s">
        <v>181</v>
      </c>
      <c r="C16" s="20"/>
      <c r="D16" s="20"/>
      <c r="E16" s="73"/>
    </row>
    <row r="17" spans="1:5" s="31" customFormat="1" ht="15" customHeight="1">
      <c r="A17" s="46" t="s">
        <v>47</v>
      </c>
      <c r="B17" s="12" t="s">
        <v>160</v>
      </c>
      <c r="C17" s="12">
        <f>+C18+C19</f>
        <v>0</v>
      </c>
      <c r="D17" s="12">
        <f>+D18+D19</f>
        <v>300</v>
      </c>
      <c r="E17" s="73"/>
    </row>
    <row r="18" spans="1:5" ht="15" customHeight="1">
      <c r="A18" s="47" t="s">
        <v>100</v>
      </c>
      <c r="B18" s="17" t="s">
        <v>17</v>
      </c>
      <c r="C18" s="20"/>
      <c r="D18" s="20">
        <f>'2. mell. Önálló int. összesen'!Y11</f>
        <v>300</v>
      </c>
      <c r="E18" s="73"/>
    </row>
    <row r="19" spans="1:5" ht="15" customHeight="1">
      <c r="A19" s="47" t="s">
        <v>101</v>
      </c>
      <c r="B19" s="17" t="s">
        <v>350</v>
      </c>
      <c r="C19" s="20"/>
      <c r="D19" s="20"/>
      <c r="E19" s="73"/>
    </row>
    <row r="20" spans="1:5" s="31" customFormat="1" ht="15" customHeight="1">
      <c r="A20" s="46" t="s">
        <v>36</v>
      </c>
      <c r="B20" s="12" t="s">
        <v>113</v>
      </c>
      <c r="C20" s="111">
        <f>+C21+C22+C23</f>
        <v>0</v>
      </c>
      <c r="D20" s="111">
        <f>+D21+D22+D23</f>
        <v>0</v>
      </c>
      <c r="E20" s="74"/>
    </row>
    <row r="21" spans="1:5" ht="15" customHeight="1">
      <c r="A21" s="47" t="s">
        <v>100</v>
      </c>
      <c r="B21" s="9" t="s">
        <v>114</v>
      </c>
      <c r="C21" s="25"/>
      <c r="D21" s="25"/>
      <c r="E21" s="73"/>
    </row>
    <row r="22" spans="1:5" ht="15" customHeight="1">
      <c r="A22" s="47" t="s">
        <v>101</v>
      </c>
      <c r="B22" s="9" t="s">
        <v>115</v>
      </c>
      <c r="C22" s="25"/>
      <c r="D22" s="25"/>
      <c r="E22" s="70"/>
    </row>
    <row r="23" spans="1:5" ht="15" customHeight="1">
      <c r="A23" s="47" t="s">
        <v>103</v>
      </c>
      <c r="B23" s="9" t="s">
        <v>161</v>
      </c>
      <c r="C23" s="25"/>
      <c r="D23" s="25"/>
      <c r="E23" s="70"/>
    </row>
    <row r="24" spans="1:5" s="31" customFormat="1" ht="15" customHeight="1">
      <c r="A24" s="46" t="s">
        <v>50</v>
      </c>
      <c r="B24" s="23" t="s">
        <v>145</v>
      </c>
      <c r="C24" s="111">
        <v>13000</v>
      </c>
      <c r="D24" s="111">
        <v>16500</v>
      </c>
      <c r="E24" s="70">
        <f>+D24/C24</f>
        <v>1.269</v>
      </c>
    </row>
    <row r="25" spans="1:5" ht="15" customHeight="1">
      <c r="A25" s="46" t="s">
        <v>91</v>
      </c>
      <c r="B25" s="12" t="s">
        <v>146</v>
      </c>
      <c r="C25" s="12">
        <f>+C24+C20+C17+C13+C10+C6</f>
        <v>220723</v>
      </c>
      <c r="D25" s="12">
        <f>+D24+D20+D17+D13+D10+D6</f>
        <v>600704</v>
      </c>
      <c r="E25" s="70">
        <f>+D25/C25</f>
        <v>2.722</v>
      </c>
    </row>
    <row r="26" spans="1:5" s="31" customFormat="1" ht="15" customHeight="1">
      <c r="A26" s="46" t="s">
        <v>97</v>
      </c>
      <c r="B26" s="19" t="s">
        <v>354</v>
      </c>
      <c r="C26" s="12">
        <f>SUM(C27:C28)</f>
        <v>0</v>
      </c>
      <c r="D26" s="12">
        <f>SUM(D27:D28)</f>
        <v>0</v>
      </c>
      <c r="E26" s="70"/>
    </row>
    <row r="27" spans="1:5" ht="15" customHeight="1">
      <c r="A27" s="47" t="s">
        <v>38</v>
      </c>
      <c r="B27" s="7" t="s">
        <v>360</v>
      </c>
      <c r="C27" s="12"/>
      <c r="D27" s="12"/>
      <c r="E27" s="70"/>
    </row>
    <row r="28" spans="1:5" ht="15" customHeight="1">
      <c r="A28" s="47" t="s">
        <v>43</v>
      </c>
      <c r="B28" s="20" t="s">
        <v>123</v>
      </c>
      <c r="C28" s="20"/>
      <c r="D28" s="20"/>
      <c r="E28" s="382"/>
    </row>
    <row r="29" spans="1:5" ht="28.5" customHeight="1">
      <c r="A29" s="46"/>
      <c r="B29" s="21" t="s">
        <v>371</v>
      </c>
      <c r="C29" s="12">
        <f>C25+C26</f>
        <v>220723</v>
      </c>
      <c r="D29" s="12">
        <f>D25+D26</f>
        <v>600704</v>
      </c>
      <c r="E29" s="70">
        <f>+D29/C29</f>
        <v>2.722</v>
      </c>
    </row>
    <row r="30" spans="1:5" ht="15" customHeight="1">
      <c r="A30" s="100"/>
      <c r="B30" s="28"/>
      <c r="C30" s="112"/>
      <c r="D30" s="112"/>
      <c r="E30" s="71"/>
    </row>
    <row r="31" spans="1:5" ht="15" customHeight="1">
      <c r="A31" s="131"/>
      <c r="B31" s="12" t="s">
        <v>149</v>
      </c>
      <c r="C31" s="20"/>
      <c r="D31" s="20"/>
      <c r="E31" s="72"/>
    </row>
    <row r="32" spans="1:5" ht="15" customHeight="1">
      <c r="A32" s="132" t="s">
        <v>38</v>
      </c>
      <c r="B32" s="20" t="s">
        <v>229</v>
      </c>
      <c r="C32" s="20">
        <f>'3.b.mell.Önko.felúj.'!C9+'2. mell. Önálló int. összesen'!X29</f>
        <v>249400</v>
      </c>
      <c r="D32" s="20">
        <f>'3.b.mell.Önko.felúj.'!D9+'2. mell. Önálló int. összesen'!Y29</f>
        <v>165783</v>
      </c>
      <c r="E32" s="73">
        <f>+D32/C32</f>
        <v>0.665</v>
      </c>
    </row>
    <row r="33" spans="1:5" ht="15" customHeight="1">
      <c r="A33" s="132" t="s">
        <v>43</v>
      </c>
      <c r="B33" s="20" t="s">
        <v>525</v>
      </c>
      <c r="C33" s="25">
        <f>'4.b.mell.Önko.beruházás'!C36+'2. mell. Önálló int. összesen'!X30</f>
        <v>465939</v>
      </c>
      <c r="D33" s="25">
        <f>'4.b.mell.Önko.beruházás'!D36+'2. mell. Önálló int. összesen'!Y30</f>
        <v>846771</v>
      </c>
      <c r="E33" s="73">
        <f aca="true" t="shared" si="0" ref="E33:E42">+D33/C33</f>
        <v>1.817</v>
      </c>
    </row>
    <row r="34" spans="1:5" ht="15" customHeight="1">
      <c r="A34" s="47" t="s">
        <v>45</v>
      </c>
      <c r="B34" s="20" t="s">
        <v>150</v>
      </c>
      <c r="C34" s="25">
        <f>'6. mell.tartalékok'!C61</f>
        <v>272000</v>
      </c>
      <c r="D34" s="25">
        <f>+'6. mell.tartalékok'!D61</f>
        <v>381880</v>
      </c>
      <c r="E34" s="73">
        <f t="shared" si="0"/>
        <v>1.404</v>
      </c>
    </row>
    <row r="35" spans="1:5" ht="15" customHeight="1">
      <c r="A35" s="47" t="s">
        <v>47</v>
      </c>
      <c r="B35" s="68" t="s">
        <v>191</v>
      </c>
      <c r="C35" s="20">
        <f>'5.mell.átadott'!C62</f>
        <v>90000</v>
      </c>
      <c r="D35" s="20">
        <f>'5.mell.átadott'!D62</f>
        <v>64000</v>
      </c>
      <c r="E35" s="73">
        <f t="shared" si="0"/>
        <v>0.711</v>
      </c>
    </row>
    <row r="36" spans="1:5" ht="15" customHeight="1">
      <c r="A36" s="47" t="s">
        <v>36</v>
      </c>
      <c r="B36" s="24" t="s">
        <v>151</v>
      </c>
      <c r="C36" s="20">
        <v>13000</v>
      </c>
      <c r="D36" s="20">
        <v>16500</v>
      </c>
      <c r="E36" s="73">
        <f t="shared" si="0"/>
        <v>1.269</v>
      </c>
    </row>
    <row r="37" spans="1:5" s="31" customFormat="1" ht="15" customHeight="1">
      <c r="A37" s="46" t="s">
        <v>91</v>
      </c>
      <c r="B37" s="12" t="s">
        <v>372</v>
      </c>
      <c r="C37" s="12">
        <f>SUM(C32:C36)</f>
        <v>1090339</v>
      </c>
      <c r="D37" s="12">
        <f>SUM(D32:D36)</f>
        <v>1474934</v>
      </c>
      <c r="E37" s="73">
        <f t="shared" si="0"/>
        <v>1.353</v>
      </c>
    </row>
    <row r="38" spans="1:5" s="31" customFormat="1" ht="15" customHeight="1">
      <c r="A38" s="46" t="s">
        <v>97</v>
      </c>
      <c r="B38" s="19" t="s">
        <v>354</v>
      </c>
      <c r="C38" s="12">
        <f>SUM(C39:C41)</f>
        <v>0</v>
      </c>
      <c r="D38" s="12">
        <f>SUM(D39:D41)</f>
        <v>0</v>
      </c>
      <c r="E38" s="73"/>
    </row>
    <row r="39" spans="1:5" ht="15" customHeight="1">
      <c r="A39" s="47" t="s">
        <v>38</v>
      </c>
      <c r="B39" s="20" t="s">
        <v>174</v>
      </c>
      <c r="C39" s="20"/>
      <c r="D39" s="20"/>
      <c r="E39" s="73"/>
    </row>
    <row r="40" spans="1:5" ht="15" customHeight="1">
      <c r="A40" s="47" t="s">
        <v>43</v>
      </c>
      <c r="B40" s="20" t="s">
        <v>365</v>
      </c>
      <c r="C40" s="20"/>
      <c r="D40" s="20"/>
      <c r="E40" s="73"/>
    </row>
    <row r="41" spans="1:5" ht="15" customHeight="1">
      <c r="A41" s="47" t="s">
        <v>45</v>
      </c>
      <c r="B41" s="20" t="s">
        <v>216</v>
      </c>
      <c r="C41" s="20"/>
      <c r="D41" s="20"/>
      <c r="E41" s="73"/>
    </row>
    <row r="42" spans="1:5" ht="15" customHeight="1" thickBot="1">
      <c r="A42" s="222"/>
      <c r="B42" s="223" t="s">
        <v>153</v>
      </c>
      <c r="C42" s="224">
        <f>C37+C38</f>
        <v>1090339</v>
      </c>
      <c r="D42" s="224">
        <f>D37+D38</f>
        <v>1474934</v>
      </c>
      <c r="E42" s="225">
        <f t="shared" si="0"/>
        <v>1.353</v>
      </c>
    </row>
    <row r="43" spans="1:5" s="31" customFormat="1" ht="15" customHeight="1" thickBot="1">
      <c r="A43" s="226"/>
      <c r="B43" s="227" t="s">
        <v>223</v>
      </c>
      <c r="C43" s="228">
        <f>C29-C42</f>
        <v>-869616</v>
      </c>
      <c r="D43" s="228">
        <f>D29-D42</f>
        <v>-874230</v>
      </c>
      <c r="E43" s="229"/>
    </row>
    <row r="44" spans="1:5" ht="15" customHeight="1">
      <c r="A44" s="22"/>
      <c r="B44" s="145"/>
      <c r="C44" s="146"/>
      <c r="D44" s="146"/>
      <c r="E44" s="146"/>
    </row>
    <row r="45" spans="1:5" s="31" customFormat="1" ht="15" customHeight="1" hidden="1">
      <c r="A45" s="142"/>
      <c r="B45" s="143" t="s">
        <v>223</v>
      </c>
      <c r="C45" s="144">
        <f>+C29-C42</f>
        <v>-869616</v>
      </c>
      <c r="D45" s="144">
        <f>+D29-D42</f>
        <v>-874230</v>
      </c>
      <c r="E45" s="144"/>
    </row>
    <row r="46" spans="1:5" ht="15" customHeight="1">
      <c r="A46" s="29"/>
      <c r="B46" s="29"/>
      <c r="C46" s="30"/>
      <c r="D46" s="30"/>
      <c r="E46" s="30"/>
    </row>
  </sheetData>
  <sheetProtection/>
  <mergeCells count="5">
    <mergeCell ref="E2:E3"/>
    <mergeCell ref="A2:A3"/>
    <mergeCell ref="B2:B3"/>
    <mergeCell ref="C2:C3"/>
    <mergeCell ref="D2:D3"/>
  </mergeCells>
  <printOptions horizontalCentered="1" verticalCentered="1"/>
  <pageMargins left="0.7874015748031497" right="0.7874015748031497" top="1.4173228346456694" bottom="0.984251968503937" header="0.5118110236220472" footer="0.5118110236220472"/>
  <pageSetup horizontalDpi="300" verticalDpi="300" orientation="portrait" paperSize="9" scale="75" r:id="rId2"/>
  <headerFooter alignWithMargins="0">
    <oddHeader>&amp;C&amp;"Times New Roman,Félkövér"A 9/2012. (II. 24.) önkormányzati rendelethez
 a Budapest Főváros IV. kerület Újpest Önkormányzat felhalmozási célú bevételeinek és kiadásainak mérlegéről&amp;R
&amp;"Times New Roman,Normál"1.b. sz. melléklet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395">
      <pane xSplit="5160" ySplit="420" topLeftCell="Z10" activePane="bottomRight" state="split"/>
      <selection pane="topLeft" activeCell="A1" sqref="A1:IV16384"/>
      <selection pane="topRight" activeCell="U395" sqref="U1:W16384"/>
      <selection pane="bottomLeft" activeCell="A1" sqref="A1:B2"/>
      <selection pane="bottomRight" activeCell="AH20" sqref="AH20:AH38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4" width="12.7109375" style="1" customWidth="1"/>
    <col min="5" max="5" width="10.57421875" style="1" customWidth="1"/>
    <col min="6" max="7" width="12.7109375" style="1" customWidth="1"/>
    <col min="8" max="8" width="11.421875" style="1" customWidth="1"/>
    <col min="9" max="10" width="12.7109375" style="1" customWidth="1"/>
    <col min="11" max="11" width="10.57421875" style="1" customWidth="1"/>
    <col min="12" max="13" width="12.7109375" style="1" customWidth="1"/>
    <col min="14" max="14" width="10.57421875" style="1" customWidth="1"/>
    <col min="15" max="16" width="12.7109375" style="1" customWidth="1"/>
    <col min="17" max="17" width="10.57421875" style="1" customWidth="1"/>
    <col min="18" max="19" width="12.7109375" style="1" customWidth="1"/>
    <col min="20" max="21" width="10.57421875" style="1" customWidth="1"/>
    <col min="22" max="22" width="11.421875" style="1" bestFit="1" customWidth="1"/>
    <col min="23" max="23" width="10.57421875" style="1" customWidth="1"/>
    <col min="24" max="25" width="12.7109375" style="109" customWidth="1"/>
    <col min="26" max="26" width="10.57421875" style="1" customWidth="1"/>
    <col min="27" max="28" width="12.7109375" style="1" customWidth="1"/>
    <col min="29" max="29" width="10.57421875" style="1" customWidth="1"/>
    <col min="30" max="31" width="12.7109375" style="1" customWidth="1"/>
    <col min="32" max="32" width="10.57421875" style="1" customWidth="1"/>
    <col min="33" max="33" width="9.7109375" style="1" bestFit="1" customWidth="1"/>
    <col min="34" max="34" width="10.421875" style="1" bestFit="1" customWidth="1"/>
    <col min="35" max="16384" width="9.140625" style="1" customWidth="1"/>
  </cols>
  <sheetData>
    <row r="1" spans="1:32" s="315" customFormat="1" ht="15" customHeight="1" thickTop="1">
      <c r="A1" s="700" t="s">
        <v>325</v>
      </c>
      <c r="B1" s="701"/>
      <c r="C1" s="706" t="s">
        <v>581</v>
      </c>
      <c r="D1" s="701"/>
      <c r="E1" s="701"/>
      <c r="F1" s="708" t="s">
        <v>326</v>
      </c>
      <c r="G1" s="709"/>
      <c r="H1" s="710"/>
      <c r="I1" s="708" t="s">
        <v>327</v>
      </c>
      <c r="J1" s="709"/>
      <c r="K1" s="710"/>
      <c r="L1" s="708" t="s">
        <v>221</v>
      </c>
      <c r="M1" s="709"/>
      <c r="N1" s="710"/>
      <c r="O1" s="708" t="s">
        <v>328</v>
      </c>
      <c r="P1" s="709"/>
      <c r="Q1" s="710"/>
      <c r="R1" s="708" t="s">
        <v>466</v>
      </c>
      <c r="S1" s="709"/>
      <c r="T1" s="710"/>
      <c r="U1" s="708" t="s">
        <v>329</v>
      </c>
      <c r="V1" s="709"/>
      <c r="W1" s="710"/>
      <c r="X1" s="708" t="s">
        <v>232</v>
      </c>
      <c r="Y1" s="709"/>
      <c r="Z1" s="710"/>
      <c r="AA1" s="706" t="s">
        <v>330</v>
      </c>
      <c r="AB1" s="701"/>
      <c r="AC1" s="701"/>
      <c r="AD1" s="706" t="s">
        <v>78</v>
      </c>
      <c r="AE1" s="701"/>
      <c r="AF1" s="701"/>
    </row>
    <row r="2" spans="1:32" s="39" customFormat="1" ht="15" customHeight="1">
      <c r="A2" s="702"/>
      <c r="B2" s="703"/>
      <c r="C2" s="707"/>
      <c r="D2" s="707"/>
      <c r="E2" s="707"/>
      <c r="F2" s="711"/>
      <c r="G2" s="711"/>
      <c r="H2" s="712"/>
      <c r="I2" s="711"/>
      <c r="J2" s="711"/>
      <c r="K2" s="712"/>
      <c r="L2" s="711"/>
      <c r="M2" s="711"/>
      <c r="N2" s="712"/>
      <c r="O2" s="711"/>
      <c r="P2" s="711"/>
      <c r="Q2" s="712"/>
      <c r="R2" s="711"/>
      <c r="S2" s="711"/>
      <c r="T2" s="712"/>
      <c r="U2" s="711"/>
      <c r="V2" s="711"/>
      <c r="W2" s="712"/>
      <c r="X2" s="711"/>
      <c r="Y2" s="711"/>
      <c r="Z2" s="712"/>
      <c r="AA2" s="707"/>
      <c r="AB2" s="707"/>
      <c r="AC2" s="707"/>
      <c r="AD2" s="707"/>
      <c r="AE2" s="707"/>
      <c r="AF2" s="707"/>
    </row>
    <row r="3" spans="1:32" s="39" customFormat="1" ht="27" customHeight="1" thickBot="1">
      <c r="A3" s="704" t="s">
        <v>72</v>
      </c>
      <c r="B3" s="705"/>
      <c r="C3" s="346" t="s">
        <v>316</v>
      </c>
      <c r="D3" s="332" t="s">
        <v>318</v>
      </c>
      <c r="E3" s="345" t="s">
        <v>35</v>
      </c>
      <c r="F3" s="346" t="s">
        <v>316</v>
      </c>
      <c r="G3" s="332" t="s">
        <v>318</v>
      </c>
      <c r="H3" s="345" t="s">
        <v>35</v>
      </c>
      <c r="I3" s="346" t="s">
        <v>316</v>
      </c>
      <c r="J3" s="332" t="s">
        <v>318</v>
      </c>
      <c r="K3" s="345" t="s">
        <v>35</v>
      </c>
      <c r="L3" s="346" t="s">
        <v>316</v>
      </c>
      <c r="M3" s="332" t="s">
        <v>318</v>
      </c>
      <c r="N3" s="345" t="s">
        <v>35</v>
      </c>
      <c r="O3" s="346" t="s">
        <v>316</v>
      </c>
      <c r="P3" s="332" t="s">
        <v>318</v>
      </c>
      <c r="Q3" s="345" t="s">
        <v>35</v>
      </c>
      <c r="R3" s="346" t="s">
        <v>316</v>
      </c>
      <c r="S3" s="332" t="s">
        <v>318</v>
      </c>
      <c r="T3" s="345" t="s">
        <v>35</v>
      </c>
      <c r="U3" s="346" t="s">
        <v>316</v>
      </c>
      <c r="V3" s="332" t="s">
        <v>318</v>
      </c>
      <c r="W3" s="345" t="s">
        <v>35</v>
      </c>
      <c r="X3" s="346" t="s">
        <v>316</v>
      </c>
      <c r="Y3" s="332" t="s">
        <v>318</v>
      </c>
      <c r="Z3" s="345" t="s">
        <v>35</v>
      </c>
      <c r="AA3" s="346" t="s">
        <v>316</v>
      </c>
      <c r="AB3" s="332" t="s">
        <v>318</v>
      </c>
      <c r="AC3" s="345" t="s">
        <v>35</v>
      </c>
      <c r="AD3" s="346" t="s">
        <v>316</v>
      </c>
      <c r="AE3" s="332" t="s">
        <v>318</v>
      </c>
      <c r="AF3" s="345" t="s">
        <v>35</v>
      </c>
    </row>
    <row r="4" spans="1:32" s="87" customFormat="1" ht="12.75">
      <c r="A4" s="322" t="s">
        <v>37</v>
      </c>
      <c r="B4" s="427"/>
      <c r="C4" s="424"/>
      <c r="D4" s="425"/>
      <c r="E4" s="426"/>
      <c r="F4" s="428"/>
      <c r="G4" s="465"/>
      <c r="H4" s="426"/>
      <c r="I4" s="425"/>
      <c r="J4" s="425"/>
      <c r="K4" s="426"/>
      <c r="L4" s="425"/>
      <c r="M4" s="425"/>
      <c r="N4" s="426"/>
      <c r="O4" s="425"/>
      <c r="P4" s="425"/>
      <c r="Q4" s="426"/>
      <c r="R4" s="425"/>
      <c r="S4" s="425"/>
      <c r="T4" s="416"/>
      <c r="U4" s="414"/>
      <c r="V4" s="415"/>
      <c r="W4" s="416"/>
      <c r="X4" s="503"/>
      <c r="Y4" s="504"/>
      <c r="Z4" s="416"/>
      <c r="AA4" s="425"/>
      <c r="AB4" s="425"/>
      <c r="AC4" s="416"/>
      <c r="AD4" s="424"/>
      <c r="AE4" s="425"/>
      <c r="AF4" s="416"/>
    </row>
    <row r="5" spans="1:34" s="87" customFormat="1" ht="12.75">
      <c r="A5" s="438" t="s">
        <v>38</v>
      </c>
      <c r="B5" s="439" t="s">
        <v>39</v>
      </c>
      <c r="C5" s="417">
        <f>SUM(C6:C8)</f>
        <v>47500</v>
      </c>
      <c r="D5" s="418">
        <f>SUM(D6:D8)</f>
        <v>54500</v>
      </c>
      <c r="E5" s="419">
        <f>+D5/C5</f>
        <v>1.147</v>
      </c>
      <c r="F5" s="417">
        <f>SUM(F6:F8)</f>
        <v>736299</v>
      </c>
      <c r="G5" s="466">
        <f>SUM(G6:G8)</f>
        <v>793886</v>
      </c>
      <c r="H5" s="419">
        <f>+G5/F5</f>
        <v>1.078</v>
      </c>
      <c r="I5" s="417">
        <f>SUM(I6:I8)</f>
        <v>57977</v>
      </c>
      <c r="J5" s="418">
        <f>SUM(J6:J8)</f>
        <v>61252</v>
      </c>
      <c r="K5" s="419">
        <f>+J5/I5</f>
        <v>1.056</v>
      </c>
      <c r="L5" s="417">
        <f>SUM(L6:L8)</f>
        <v>21500</v>
      </c>
      <c r="M5" s="418">
        <f>SUM(M6:M8)</f>
        <v>21500</v>
      </c>
      <c r="N5" s="419">
        <f>+M5/L5</f>
        <v>1</v>
      </c>
      <c r="O5" s="417">
        <f>SUM(O6:O8)</f>
        <v>114880</v>
      </c>
      <c r="P5" s="418">
        <f>SUM(P6:P8)</f>
        <v>114210</v>
      </c>
      <c r="Q5" s="419">
        <f>+P5/O5</f>
        <v>0.994</v>
      </c>
      <c r="R5" s="417">
        <f>SUM(R6:R8)</f>
        <v>75010</v>
      </c>
      <c r="S5" s="418">
        <f>SUM(S6:S8)</f>
        <v>100560</v>
      </c>
      <c r="T5" s="419">
        <f>+S5/R5</f>
        <v>1.341</v>
      </c>
      <c r="U5" s="417">
        <f>SUM(U6:U8)</f>
        <v>0</v>
      </c>
      <c r="V5" s="418">
        <f>SUM(V6:V8)</f>
        <v>35243</v>
      </c>
      <c r="W5" s="419"/>
      <c r="X5" s="434">
        <f>SUM(X6:X8)</f>
        <v>1053166</v>
      </c>
      <c r="Y5" s="481">
        <f>SUM(Y6:Y8)</f>
        <v>1181151</v>
      </c>
      <c r="Z5" s="419">
        <f>+Y5/X5</f>
        <v>1.122</v>
      </c>
      <c r="AA5" s="417">
        <f>SUM(AA6:AA8)</f>
        <v>200020</v>
      </c>
      <c r="AB5" s="418">
        <f>SUM(AB6:AB8)</f>
        <v>563800</v>
      </c>
      <c r="AC5" s="419">
        <f>+AB5/AA5</f>
        <v>2.819</v>
      </c>
      <c r="AD5" s="417">
        <f>SUM(AD6:AD8)</f>
        <v>1253186</v>
      </c>
      <c r="AE5" s="418">
        <f>SUM(AE6:AE8)</f>
        <v>1744951</v>
      </c>
      <c r="AF5" s="419">
        <f>+AE5/AD5</f>
        <v>1.392</v>
      </c>
      <c r="AG5" s="90"/>
      <c r="AH5" s="90"/>
    </row>
    <row r="6" spans="1:33" ht="12.75">
      <c r="A6" s="440"/>
      <c r="B6" s="441" t="s">
        <v>40</v>
      </c>
      <c r="C6" s="411">
        <v>47400</v>
      </c>
      <c r="D6" s="124">
        <f>49400+5000</f>
        <v>54400</v>
      </c>
      <c r="E6" s="420">
        <f>+D6/C6</f>
        <v>1.148</v>
      </c>
      <c r="F6" s="423">
        <f>'2.a.3.GI-hez tartozó egyéb int.'!R6</f>
        <v>736299</v>
      </c>
      <c r="G6" s="35">
        <f>'2.a.3.GI-hez tartozó egyéb int.'!S6</f>
        <v>793886</v>
      </c>
      <c r="H6" s="420">
        <f>+G6/F6</f>
        <v>1.078</v>
      </c>
      <c r="I6" s="423">
        <v>57927</v>
      </c>
      <c r="J6" s="35">
        <f>61152</f>
        <v>61152</v>
      </c>
      <c r="K6" s="420">
        <f>+J6/I6</f>
        <v>1.056</v>
      </c>
      <c r="L6" s="411">
        <v>21000</v>
      </c>
      <c r="M6" s="124">
        <f>21000</f>
        <v>21000</v>
      </c>
      <c r="N6" s="420">
        <f>+M6/L6</f>
        <v>1</v>
      </c>
      <c r="O6" s="411">
        <v>114730</v>
      </c>
      <c r="P6" s="124">
        <f>113905</f>
        <v>113905</v>
      </c>
      <c r="Q6" s="420">
        <f>+P6/O6</f>
        <v>0.993</v>
      </c>
      <c r="R6" s="411">
        <v>75010</v>
      </c>
      <c r="S6" s="124">
        <f>15960+12800+64000+7800</f>
        <v>100560</v>
      </c>
      <c r="T6" s="420">
        <f>+S6/R6</f>
        <v>1.341</v>
      </c>
      <c r="U6" s="409"/>
      <c r="V6" s="124">
        <f>100+500+11000+1200+17113+330+3000+1000+1000</f>
        <v>35243</v>
      </c>
      <c r="W6" s="408"/>
      <c r="X6" s="432">
        <f>SUM(R6,O6,L6,I6,F6,C6,U6)</f>
        <v>1052366</v>
      </c>
      <c r="Y6" s="202">
        <f>SUM(S6,P6,M6,J6,G6,D6,V6)</f>
        <v>1180146</v>
      </c>
      <c r="Z6" s="420">
        <f>+Y6/X6</f>
        <v>1.121</v>
      </c>
      <c r="AA6" s="411">
        <f>117676+1600</f>
        <v>119276</v>
      </c>
      <c r="AB6" s="124">
        <f>17000+4800+1000-6000-17000+6000+42500-1000</f>
        <v>47300</v>
      </c>
      <c r="AC6" s="420">
        <f aca="true" t="shared" si="0" ref="AC6:AC35">+AB6/AA6</f>
        <v>0.397</v>
      </c>
      <c r="AD6" s="423">
        <f>SUM(AA6,X6)</f>
        <v>1171642</v>
      </c>
      <c r="AE6" s="35">
        <f>SUM(AB6,Y6)</f>
        <v>1227446</v>
      </c>
      <c r="AF6" s="420">
        <f aca="true" t="shared" si="1" ref="AF6:AF35">+AE6/AD6</f>
        <v>1.048</v>
      </c>
      <c r="AG6" s="79"/>
    </row>
    <row r="7" spans="1:34" ht="12.75">
      <c r="A7" s="440"/>
      <c r="B7" s="441" t="s">
        <v>41</v>
      </c>
      <c r="C7" s="411"/>
      <c r="D7" s="124"/>
      <c r="E7" s="420"/>
      <c r="F7" s="423"/>
      <c r="G7" s="35"/>
      <c r="H7" s="420"/>
      <c r="I7" s="423"/>
      <c r="J7" s="35"/>
      <c r="K7" s="420"/>
      <c r="L7" s="411"/>
      <c r="M7" s="124"/>
      <c r="N7" s="420"/>
      <c r="O7" s="411"/>
      <c r="P7" s="124"/>
      <c r="Q7" s="420"/>
      <c r="R7" s="411"/>
      <c r="S7" s="124"/>
      <c r="T7" s="420"/>
      <c r="U7" s="409"/>
      <c r="V7" s="124" t="s">
        <v>459</v>
      </c>
      <c r="W7" s="408"/>
      <c r="X7" s="432"/>
      <c r="Y7" s="202"/>
      <c r="Z7" s="420" t="s">
        <v>459</v>
      </c>
      <c r="AA7" s="411"/>
      <c r="AB7" s="124"/>
      <c r="AC7" s="420"/>
      <c r="AD7" s="423"/>
      <c r="AE7" s="35"/>
      <c r="AF7" s="420"/>
      <c r="AH7" s="79"/>
    </row>
    <row r="8" spans="1:34" ht="12.75">
      <c r="A8" s="440"/>
      <c r="B8" s="441" t="s">
        <v>42</v>
      </c>
      <c r="C8" s="411">
        <v>100</v>
      </c>
      <c r="D8" s="124">
        <v>100</v>
      </c>
      <c r="E8" s="420">
        <f>+D8/C8</f>
        <v>1</v>
      </c>
      <c r="F8" s="423"/>
      <c r="G8" s="35"/>
      <c r="H8" s="420"/>
      <c r="I8" s="423">
        <v>50</v>
      </c>
      <c r="J8" s="35">
        <v>100</v>
      </c>
      <c r="K8" s="420">
        <f>+J8/I8</f>
        <v>2</v>
      </c>
      <c r="L8" s="411">
        <v>500</v>
      </c>
      <c r="M8" s="124">
        <f>500</f>
        <v>500</v>
      </c>
      <c r="N8" s="420">
        <f>+M8/L8</f>
        <v>1</v>
      </c>
      <c r="O8" s="411">
        <v>150</v>
      </c>
      <c r="P8" s="124">
        <v>305</v>
      </c>
      <c r="Q8" s="420">
        <f>+P8/O8</f>
        <v>2.033</v>
      </c>
      <c r="R8" s="411"/>
      <c r="S8" s="124"/>
      <c r="T8" s="420"/>
      <c r="U8" s="409"/>
      <c r="V8" s="124"/>
      <c r="W8" s="408"/>
      <c r="X8" s="432">
        <f aca="true" t="shared" si="2" ref="X8:Y16">SUM(R8,O8,L8,I8,F8,C8,U8)</f>
        <v>800</v>
      </c>
      <c r="Y8" s="202">
        <f t="shared" si="2"/>
        <v>1005</v>
      </c>
      <c r="Z8" s="420">
        <f>+Y8/X8</f>
        <v>1.256</v>
      </c>
      <c r="AA8" s="411">
        <v>80744</v>
      </c>
      <c r="AB8" s="124">
        <f>80000+436500</f>
        <v>516500</v>
      </c>
      <c r="AC8" s="420">
        <f t="shared" si="0"/>
        <v>6.397</v>
      </c>
      <c r="AD8" s="423">
        <f aca="true" t="shared" si="3" ref="AD8:AD16">SUM(AA8,X8)</f>
        <v>81544</v>
      </c>
      <c r="AE8" s="35">
        <f aca="true" t="shared" si="4" ref="AE8:AE19">SUM(AB8,Y8)</f>
        <v>517505</v>
      </c>
      <c r="AF8" s="420">
        <f t="shared" si="1"/>
        <v>6.346</v>
      </c>
      <c r="AG8" s="79"/>
      <c r="AH8" s="79"/>
    </row>
    <row r="9" spans="1:32" ht="12.75">
      <c r="A9" s="440" t="s">
        <v>43</v>
      </c>
      <c r="B9" s="441" t="s">
        <v>44</v>
      </c>
      <c r="C9" s="411"/>
      <c r="D9" s="124"/>
      <c r="E9" s="420"/>
      <c r="F9" s="423"/>
      <c r="G9" s="35"/>
      <c r="H9" s="420"/>
      <c r="I9" s="423"/>
      <c r="J9" s="35"/>
      <c r="K9" s="420"/>
      <c r="L9" s="411"/>
      <c r="M9" s="124"/>
      <c r="N9" s="420"/>
      <c r="O9" s="411"/>
      <c r="P9" s="124"/>
      <c r="Q9" s="420"/>
      <c r="R9" s="411"/>
      <c r="S9" s="124"/>
      <c r="T9" s="420"/>
      <c r="U9" s="409"/>
      <c r="V9" s="124">
        <v>16500</v>
      </c>
      <c r="W9" s="408"/>
      <c r="X9" s="432">
        <f t="shared" si="2"/>
        <v>0</v>
      </c>
      <c r="Y9" s="202">
        <f t="shared" si="2"/>
        <v>16500</v>
      </c>
      <c r="Z9" s="420"/>
      <c r="AA9" s="411">
        <v>136723</v>
      </c>
      <c r="AB9" s="124">
        <f>5000+16500-16500+107998</f>
        <v>112998</v>
      </c>
      <c r="AC9" s="420">
        <f t="shared" si="0"/>
        <v>0.826</v>
      </c>
      <c r="AD9" s="423">
        <f t="shared" si="3"/>
        <v>136723</v>
      </c>
      <c r="AE9" s="35">
        <f t="shared" si="4"/>
        <v>129498</v>
      </c>
      <c r="AF9" s="420">
        <f t="shared" si="1"/>
        <v>0.947</v>
      </c>
    </row>
    <row r="10" spans="1:33" ht="12.75">
      <c r="A10" s="440" t="s">
        <v>45</v>
      </c>
      <c r="B10" s="441" t="s">
        <v>46</v>
      </c>
      <c r="C10" s="411"/>
      <c r="D10" s="124"/>
      <c r="E10" s="420"/>
      <c r="F10" s="423"/>
      <c r="G10" s="35"/>
      <c r="H10" s="420"/>
      <c r="I10" s="423">
        <v>21655</v>
      </c>
      <c r="J10" s="35"/>
      <c r="K10" s="420">
        <f>+J10/I10</f>
        <v>0</v>
      </c>
      <c r="L10" s="411">
        <v>12000</v>
      </c>
      <c r="M10" s="124"/>
      <c r="N10" s="420">
        <f>+M10/L10</f>
        <v>0</v>
      </c>
      <c r="O10" s="411"/>
      <c r="P10" s="124"/>
      <c r="Q10" s="420"/>
      <c r="R10" s="411"/>
      <c r="S10" s="124"/>
      <c r="T10" s="420"/>
      <c r="U10" s="409"/>
      <c r="V10" s="124"/>
      <c r="W10" s="408"/>
      <c r="X10" s="432">
        <f t="shared" si="2"/>
        <v>33655</v>
      </c>
      <c r="Y10" s="202">
        <f t="shared" si="2"/>
        <v>0</v>
      </c>
      <c r="Z10" s="420">
        <f>+Y10/X10</f>
        <v>0</v>
      </c>
      <c r="AA10" s="411">
        <v>888578</v>
      </c>
      <c r="AB10" s="124">
        <f>90000+224000+5400+200+54000+24000+54750+700+2200+5400+1000+1000+1500+140732+500+1000+164120</f>
        <v>770502</v>
      </c>
      <c r="AC10" s="420">
        <f t="shared" si="0"/>
        <v>0.867</v>
      </c>
      <c r="AD10" s="423">
        <f t="shared" si="3"/>
        <v>922233</v>
      </c>
      <c r="AE10" s="35">
        <f t="shared" si="4"/>
        <v>770502</v>
      </c>
      <c r="AF10" s="420">
        <f t="shared" si="1"/>
        <v>0.835</v>
      </c>
      <c r="AG10" s="79"/>
    </row>
    <row r="11" spans="1:35" ht="12.75">
      <c r="A11" s="440" t="s">
        <v>47</v>
      </c>
      <c r="B11" s="441" t="s">
        <v>48</v>
      </c>
      <c r="C11" s="411"/>
      <c r="D11" s="124"/>
      <c r="E11" s="420"/>
      <c r="F11" s="423"/>
      <c r="G11" s="35"/>
      <c r="H11" s="420"/>
      <c r="I11" s="423"/>
      <c r="J11" s="35">
        <v>300</v>
      </c>
      <c r="K11" s="420"/>
      <c r="L11" s="411"/>
      <c r="M11" s="124"/>
      <c r="N11" s="420"/>
      <c r="O11" s="411"/>
      <c r="P11" s="124"/>
      <c r="Q11" s="420"/>
      <c r="R11" s="411"/>
      <c r="S11" s="124"/>
      <c r="T11" s="420"/>
      <c r="U11" s="409"/>
      <c r="V11" s="124"/>
      <c r="W11" s="408"/>
      <c r="X11" s="432">
        <f t="shared" si="2"/>
        <v>0</v>
      </c>
      <c r="Y11" s="202">
        <f t="shared" si="2"/>
        <v>300</v>
      </c>
      <c r="Z11" s="420"/>
      <c r="AA11" s="411">
        <v>84000</v>
      </c>
      <c r="AB11" s="124">
        <f>20360+58963+327853+42500+20902+42828-42500</f>
        <v>470906</v>
      </c>
      <c r="AC11" s="420">
        <f t="shared" si="0"/>
        <v>5.606</v>
      </c>
      <c r="AD11" s="423">
        <f t="shared" si="3"/>
        <v>84000</v>
      </c>
      <c r="AE11" s="35">
        <f t="shared" si="4"/>
        <v>471206</v>
      </c>
      <c r="AF11" s="420">
        <f t="shared" si="1"/>
        <v>5.61</v>
      </c>
      <c r="AI11" s="79"/>
    </row>
    <row r="12" spans="1:33" ht="12.75">
      <c r="A12" s="440" t="s">
        <v>36</v>
      </c>
      <c r="B12" s="441" t="s">
        <v>49</v>
      </c>
      <c r="C12" s="411">
        <v>10350</v>
      </c>
      <c r="D12" s="124">
        <v>12000</v>
      </c>
      <c r="E12" s="420">
        <f>+D12/C12</f>
        <v>1.159</v>
      </c>
      <c r="F12" s="423">
        <f>'2.a.3.GI-hez tartozó egyéb int.'!R12</f>
        <v>174780</v>
      </c>
      <c r="G12" s="35">
        <f>'2.a.3.GI-hez tartozó egyéb int.'!S12</f>
        <v>198976</v>
      </c>
      <c r="H12" s="420">
        <f>+G12/F12</f>
        <v>1.138</v>
      </c>
      <c r="I12" s="423">
        <v>13622</v>
      </c>
      <c r="J12" s="35">
        <v>16071</v>
      </c>
      <c r="K12" s="420">
        <f>+J12/I12</f>
        <v>1.18</v>
      </c>
      <c r="L12" s="411">
        <v>5250</v>
      </c>
      <c r="M12" s="124">
        <v>5670</v>
      </c>
      <c r="N12" s="420">
        <f>+M12/L12</f>
        <v>1.08</v>
      </c>
      <c r="O12" s="411">
        <v>7520</v>
      </c>
      <c r="P12" s="124">
        <v>7190</v>
      </c>
      <c r="Q12" s="420">
        <f>+P12/O12</f>
        <v>0.956</v>
      </c>
      <c r="R12" s="411">
        <v>11000</v>
      </c>
      <c r="S12" s="124">
        <f>7948</f>
        <v>7948</v>
      </c>
      <c r="T12" s="420">
        <f>+S12/R12</f>
        <v>0.723</v>
      </c>
      <c r="U12" s="409"/>
      <c r="V12" s="124">
        <f>810</f>
        <v>810</v>
      </c>
      <c r="W12" s="408"/>
      <c r="X12" s="432">
        <f t="shared" si="2"/>
        <v>222522</v>
      </c>
      <c r="Y12" s="202">
        <f t="shared" si="2"/>
        <v>248665</v>
      </c>
      <c r="Z12" s="420">
        <f>+Y12/X12</f>
        <v>1.117</v>
      </c>
      <c r="AA12" s="411">
        <f>101524+400</f>
        <v>101924</v>
      </c>
      <c r="AB12" s="124">
        <f>4590+21060-1620</f>
        <v>24030</v>
      </c>
      <c r="AC12" s="420">
        <f t="shared" si="0"/>
        <v>0.236</v>
      </c>
      <c r="AD12" s="423">
        <f t="shared" si="3"/>
        <v>324446</v>
      </c>
      <c r="AE12" s="35">
        <f t="shared" si="4"/>
        <v>272695</v>
      </c>
      <c r="AF12" s="420">
        <f t="shared" si="1"/>
        <v>0.84</v>
      </c>
      <c r="AG12" s="79"/>
    </row>
    <row r="13" spans="1:32" ht="12.75">
      <c r="A13" s="440" t="s">
        <v>50</v>
      </c>
      <c r="B13" s="441" t="s">
        <v>51</v>
      </c>
      <c r="C13" s="411"/>
      <c r="D13" s="124"/>
      <c r="E13" s="420"/>
      <c r="F13" s="423"/>
      <c r="G13" s="35"/>
      <c r="H13" s="420"/>
      <c r="I13" s="423"/>
      <c r="J13" s="35"/>
      <c r="K13" s="420"/>
      <c r="L13" s="411"/>
      <c r="M13" s="124"/>
      <c r="N13" s="420"/>
      <c r="O13" s="411"/>
      <c r="P13" s="124"/>
      <c r="Q13" s="420"/>
      <c r="R13" s="411"/>
      <c r="S13" s="124"/>
      <c r="T13" s="420"/>
      <c r="U13" s="409"/>
      <c r="V13" s="124"/>
      <c r="W13" s="408"/>
      <c r="X13" s="432"/>
      <c r="Y13" s="202"/>
      <c r="Z13" s="420"/>
      <c r="AA13" s="411">
        <v>12869</v>
      </c>
      <c r="AB13" s="124"/>
      <c r="AC13" s="420">
        <f t="shared" si="0"/>
        <v>0</v>
      </c>
      <c r="AD13" s="423">
        <f t="shared" si="3"/>
        <v>12869</v>
      </c>
      <c r="AE13" s="35">
        <f t="shared" si="4"/>
        <v>0</v>
      </c>
      <c r="AF13" s="420">
        <f t="shared" si="1"/>
        <v>0</v>
      </c>
    </row>
    <row r="14" spans="1:33" ht="12.75">
      <c r="A14" s="440" t="s">
        <v>52</v>
      </c>
      <c r="B14" s="442" t="s">
        <v>320</v>
      </c>
      <c r="C14" s="411"/>
      <c r="D14" s="124"/>
      <c r="E14" s="420"/>
      <c r="F14" s="423"/>
      <c r="G14" s="35"/>
      <c r="H14" s="420"/>
      <c r="I14" s="423"/>
      <c r="J14" s="35"/>
      <c r="K14" s="420"/>
      <c r="L14" s="411"/>
      <c r="M14" s="124"/>
      <c r="N14" s="420"/>
      <c r="O14" s="411"/>
      <c r="P14" s="124"/>
      <c r="Q14" s="420"/>
      <c r="R14" s="411"/>
      <c r="S14" s="124"/>
      <c r="T14" s="420"/>
      <c r="U14" s="409"/>
      <c r="V14" s="124"/>
      <c r="W14" s="408"/>
      <c r="X14" s="432"/>
      <c r="Y14" s="202"/>
      <c r="Z14" s="420"/>
      <c r="AA14" s="411">
        <v>3626483</v>
      </c>
      <c r="AB14" s="124">
        <f>2929045+223678+47550+50800+6846+13212+176868+32040+13761+400+2788</f>
        <v>3496988</v>
      </c>
      <c r="AC14" s="420">
        <f t="shared" si="0"/>
        <v>0.964</v>
      </c>
      <c r="AD14" s="423">
        <f t="shared" si="3"/>
        <v>3626483</v>
      </c>
      <c r="AE14" s="35">
        <f t="shared" si="4"/>
        <v>3496988</v>
      </c>
      <c r="AF14" s="420">
        <f t="shared" si="1"/>
        <v>0.964</v>
      </c>
      <c r="AG14" s="79"/>
    </row>
    <row r="15" spans="1:35" ht="12.75">
      <c r="A15" s="440" t="s">
        <v>54</v>
      </c>
      <c r="B15" s="441" t="s">
        <v>321</v>
      </c>
      <c r="C15" s="411">
        <f aca="true" t="shared" si="5" ref="C15:M15">+C34-C5-C9-C10-C11-C12-C13-C14-C16-C17-C18-C19</f>
        <v>518241</v>
      </c>
      <c r="D15" s="124">
        <f t="shared" si="5"/>
        <v>499739</v>
      </c>
      <c r="E15" s="420">
        <f>+D15/C15</f>
        <v>0.964</v>
      </c>
      <c r="F15" s="423">
        <f>'2.a.3.GI-hez tartozó egyéb int.'!R15</f>
        <v>5852719</v>
      </c>
      <c r="G15" s="35">
        <f>'2.a.3.GI-hez tartozó egyéb int.'!S15</f>
        <v>6098408</v>
      </c>
      <c r="H15" s="420">
        <f>+G15/F15</f>
        <v>1.042</v>
      </c>
      <c r="I15" s="411">
        <f t="shared" si="5"/>
        <v>102674</v>
      </c>
      <c r="J15" s="124">
        <f t="shared" si="5"/>
        <v>109997</v>
      </c>
      <c r="K15" s="420">
        <f>+J15/I15</f>
        <v>1.071</v>
      </c>
      <c r="L15" s="411">
        <f t="shared" si="5"/>
        <v>93344</v>
      </c>
      <c r="M15" s="124">
        <f t="shared" si="5"/>
        <v>108490</v>
      </c>
      <c r="N15" s="420">
        <f>+M15/L15</f>
        <v>1.162</v>
      </c>
      <c r="O15" s="411">
        <f>+O34-O5-O9-O10-O11-O12-O13-O14-O16-O17-O18-O19</f>
        <v>502131</v>
      </c>
      <c r="P15" s="124">
        <f>+P34-P5-P9-P10-P11-P12-P13-P14-P16-P17-P18-P19</f>
        <v>504673</v>
      </c>
      <c r="Q15" s="420">
        <f>+P15/O15</f>
        <v>1.005</v>
      </c>
      <c r="R15" s="411">
        <f>+R34-R5-R9-R10-R11-R12-R13-R14-R16-R17-R18-R19</f>
        <v>108112</v>
      </c>
      <c r="S15" s="124">
        <f>+S34-S5-S9-S10-S11-S12-S13-S14-S16-S17-S18-S19</f>
        <v>117256</v>
      </c>
      <c r="T15" s="420">
        <f>+S15/R15</f>
        <v>1.085</v>
      </c>
      <c r="U15" s="411">
        <f>+U34-U5-U9-U10-U11-U12-U13-U14-U16-U17-U18-U19</f>
        <v>0</v>
      </c>
      <c r="V15" s="124">
        <f>+V34-V5-V9-V10-V11-V12-V13-V14-V16-V17-V18-V19</f>
        <v>2154002</v>
      </c>
      <c r="W15" s="408"/>
      <c r="X15" s="432">
        <f t="shared" si="2"/>
        <v>7177221</v>
      </c>
      <c r="Y15" s="202">
        <f t="shared" si="2"/>
        <v>9592565</v>
      </c>
      <c r="Z15" s="420">
        <f>+Y15/X15</f>
        <v>1.337</v>
      </c>
      <c r="AA15" s="411">
        <f>-X15</f>
        <v>-7177221</v>
      </c>
      <c r="AB15" s="124">
        <f>-Y15</f>
        <v>-9592565</v>
      </c>
      <c r="AC15" s="420">
        <f t="shared" si="0"/>
        <v>1.337</v>
      </c>
      <c r="AD15" s="423">
        <f t="shared" si="3"/>
        <v>0</v>
      </c>
      <c r="AE15" s="35">
        <f>SUM(AB15,Y15)</f>
        <v>0</v>
      </c>
      <c r="AF15" s="420"/>
      <c r="AG15" s="79"/>
      <c r="AI15" s="79"/>
    </row>
    <row r="16" spans="1:33" ht="12.75">
      <c r="A16" s="440" t="s">
        <v>55</v>
      </c>
      <c r="B16" s="442" t="s">
        <v>53</v>
      </c>
      <c r="C16" s="411"/>
      <c r="D16" s="124"/>
      <c r="E16" s="420"/>
      <c r="F16" s="423"/>
      <c r="G16" s="35"/>
      <c r="H16" s="420"/>
      <c r="I16" s="423"/>
      <c r="J16" s="35"/>
      <c r="K16" s="420"/>
      <c r="L16" s="411"/>
      <c r="M16" s="124"/>
      <c r="N16" s="420"/>
      <c r="O16" s="411">
        <v>260000</v>
      </c>
      <c r="P16" s="124">
        <v>258000</v>
      </c>
      <c r="Q16" s="420">
        <f>+P16/O16</f>
        <v>0.992</v>
      </c>
      <c r="R16" s="411"/>
      <c r="S16" s="124"/>
      <c r="T16" s="420"/>
      <c r="U16" s="409"/>
      <c r="V16" s="410"/>
      <c r="W16" s="408"/>
      <c r="X16" s="432">
        <f t="shared" si="2"/>
        <v>260000</v>
      </c>
      <c r="Y16" s="202">
        <f t="shared" si="2"/>
        <v>258000</v>
      </c>
      <c r="Z16" s="420">
        <f>+Y16/X16</f>
        <v>0.992</v>
      </c>
      <c r="AA16" s="411"/>
      <c r="AB16" s="124"/>
      <c r="AC16" s="420"/>
      <c r="AD16" s="423">
        <f t="shared" si="3"/>
        <v>260000</v>
      </c>
      <c r="AE16" s="35">
        <f t="shared" si="4"/>
        <v>258000</v>
      </c>
      <c r="AF16" s="420">
        <f t="shared" si="1"/>
        <v>0.992</v>
      </c>
      <c r="AG16" s="79"/>
    </row>
    <row r="17" spans="1:33" ht="12.75">
      <c r="A17" s="440" t="s">
        <v>57</v>
      </c>
      <c r="B17" s="441" t="s">
        <v>322</v>
      </c>
      <c r="C17" s="411"/>
      <c r="D17" s="124"/>
      <c r="E17" s="420"/>
      <c r="F17" s="423"/>
      <c r="G17" s="35"/>
      <c r="H17" s="420"/>
      <c r="I17" s="423"/>
      <c r="J17" s="35"/>
      <c r="K17" s="420"/>
      <c r="L17" s="411"/>
      <c r="M17" s="124"/>
      <c r="N17" s="420"/>
      <c r="O17" s="411"/>
      <c r="P17" s="124"/>
      <c r="Q17" s="420"/>
      <c r="R17" s="411"/>
      <c r="S17" s="124"/>
      <c r="T17" s="420"/>
      <c r="U17" s="409"/>
      <c r="V17" s="410"/>
      <c r="W17" s="408"/>
      <c r="X17" s="432"/>
      <c r="Y17" s="202"/>
      <c r="Z17" s="420"/>
      <c r="AA17" s="411"/>
      <c r="AB17" s="124"/>
      <c r="AC17" s="420"/>
      <c r="AD17" s="423"/>
      <c r="AE17" s="35"/>
      <c r="AF17" s="420"/>
      <c r="AG17" s="79"/>
    </row>
    <row r="18" spans="1:32" ht="12.75">
      <c r="A18" s="440" t="s">
        <v>59</v>
      </c>
      <c r="B18" s="441" t="s">
        <v>56</v>
      </c>
      <c r="C18" s="411"/>
      <c r="D18" s="124"/>
      <c r="E18" s="420"/>
      <c r="F18" s="423"/>
      <c r="G18" s="35"/>
      <c r="H18" s="420"/>
      <c r="I18" s="423"/>
      <c r="J18" s="35"/>
      <c r="K18" s="420"/>
      <c r="L18" s="411"/>
      <c r="M18" s="124"/>
      <c r="N18" s="420"/>
      <c r="O18" s="411"/>
      <c r="P18" s="124"/>
      <c r="Q18" s="420"/>
      <c r="R18" s="411"/>
      <c r="S18" s="124"/>
      <c r="T18" s="420"/>
      <c r="U18" s="409"/>
      <c r="V18" s="410"/>
      <c r="W18" s="408"/>
      <c r="X18" s="432"/>
      <c r="Y18" s="202"/>
      <c r="Z18" s="420"/>
      <c r="AA18" s="411"/>
      <c r="AB18" s="124"/>
      <c r="AC18" s="420"/>
      <c r="AD18" s="423"/>
      <c r="AE18" s="35"/>
      <c r="AF18" s="420"/>
    </row>
    <row r="19" spans="1:32" ht="13.5" thickBot="1">
      <c r="A19" s="443" t="s">
        <v>61</v>
      </c>
      <c r="B19" s="475" t="s">
        <v>295</v>
      </c>
      <c r="C19" s="421"/>
      <c r="D19" s="422"/>
      <c r="E19" s="413"/>
      <c r="F19" s="423"/>
      <c r="G19" s="35"/>
      <c r="H19" s="413"/>
      <c r="I19" s="429"/>
      <c r="J19" s="430"/>
      <c r="K19" s="413"/>
      <c r="L19" s="421"/>
      <c r="M19" s="422"/>
      <c r="N19" s="413"/>
      <c r="O19" s="421"/>
      <c r="P19" s="422"/>
      <c r="Q19" s="413"/>
      <c r="R19" s="421"/>
      <c r="S19" s="422"/>
      <c r="T19" s="413"/>
      <c r="U19" s="412"/>
      <c r="V19" s="124"/>
      <c r="W19" s="413"/>
      <c r="X19" s="432"/>
      <c r="Y19" s="202"/>
      <c r="Z19" s="413"/>
      <c r="AA19" s="421">
        <v>9934652</v>
      </c>
      <c r="AB19" s="422">
        <f>1900000+260000+50000+600000+30000+8000+78000+35000+6039049+348880+40000-3000+11000</f>
        <v>9396929</v>
      </c>
      <c r="AC19" s="413">
        <f t="shared" si="0"/>
        <v>0.946</v>
      </c>
      <c r="AD19" s="429">
        <f>SUM(AA19,X19)</f>
        <v>9934652</v>
      </c>
      <c r="AE19" s="430">
        <f t="shared" si="4"/>
        <v>9396929</v>
      </c>
      <c r="AF19" s="413">
        <f t="shared" si="1"/>
        <v>0.946</v>
      </c>
    </row>
    <row r="20" spans="1:34" s="87" customFormat="1" ht="14.25" thickBot="1" thickTop="1">
      <c r="A20" s="625" t="s">
        <v>63</v>
      </c>
      <c r="B20" s="83" t="s">
        <v>323</v>
      </c>
      <c r="C20" s="163">
        <f>SUM(C9:C19)+C5</f>
        <v>576091</v>
      </c>
      <c r="D20" s="161">
        <f>SUM(D9:D19)+D5</f>
        <v>566239</v>
      </c>
      <c r="E20" s="162">
        <f>+D20/C20</f>
        <v>0.983</v>
      </c>
      <c r="F20" s="163">
        <f>SUM(F9:F19)+F5</f>
        <v>6763798</v>
      </c>
      <c r="G20" s="163">
        <f>SUM(G9:G19)+G5</f>
        <v>7091270</v>
      </c>
      <c r="H20" s="162">
        <f>+G20/F20</f>
        <v>1.048</v>
      </c>
      <c r="I20" s="161">
        <f aca="true" t="shared" si="6" ref="I20:AE20">SUM(I9:I19)+I5</f>
        <v>195928</v>
      </c>
      <c r="J20" s="161">
        <f t="shared" si="6"/>
        <v>187620</v>
      </c>
      <c r="K20" s="162">
        <f>+J20/I20</f>
        <v>0.958</v>
      </c>
      <c r="L20" s="161">
        <f t="shared" si="6"/>
        <v>132094</v>
      </c>
      <c r="M20" s="161">
        <f t="shared" si="6"/>
        <v>135660</v>
      </c>
      <c r="N20" s="162">
        <f>+M20/L20</f>
        <v>1.027</v>
      </c>
      <c r="O20" s="161">
        <f t="shared" si="6"/>
        <v>884531</v>
      </c>
      <c r="P20" s="161">
        <f t="shared" si="6"/>
        <v>884073</v>
      </c>
      <c r="Q20" s="162">
        <f>+P20/O20</f>
        <v>0.999</v>
      </c>
      <c r="R20" s="161">
        <f t="shared" si="6"/>
        <v>194122</v>
      </c>
      <c r="S20" s="161">
        <f t="shared" si="6"/>
        <v>225764</v>
      </c>
      <c r="T20" s="162">
        <f>+S20/R20</f>
        <v>1.163</v>
      </c>
      <c r="U20" s="161">
        <f>SUM(U9:U19)+U5</f>
        <v>0</v>
      </c>
      <c r="V20" s="161">
        <f>SUM(V9:V19)+V5</f>
        <v>2206555</v>
      </c>
      <c r="W20" s="316"/>
      <c r="X20" s="163">
        <f t="shared" si="6"/>
        <v>8746564</v>
      </c>
      <c r="Y20" s="161">
        <f t="shared" si="6"/>
        <v>11297181</v>
      </c>
      <c r="Z20" s="162">
        <f>+Y20/X20</f>
        <v>1.292</v>
      </c>
      <c r="AA20" s="161">
        <f t="shared" si="6"/>
        <v>7808028</v>
      </c>
      <c r="AB20" s="161">
        <f t="shared" si="6"/>
        <v>5243588</v>
      </c>
      <c r="AC20" s="162">
        <f t="shared" si="0"/>
        <v>0.672</v>
      </c>
      <c r="AD20" s="163">
        <f t="shared" si="6"/>
        <v>16554592</v>
      </c>
      <c r="AE20" s="161">
        <f t="shared" si="6"/>
        <v>16540769</v>
      </c>
      <c r="AF20" s="162">
        <f t="shared" si="1"/>
        <v>0.999</v>
      </c>
      <c r="AG20" s="164"/>
      <c r="AH20" s="90"/>
    </row>
    <row r="21" spans="1:34" s="87" customFormat="1" ht="12.75">
      <c r="A21" s="165" t="s">
        <v>58</v>
      </c>
      <c r="B21" s="91"/>
      <c r="C21" s="407"/>
      <c r="D21" s="166"/>
      <c r="E21" s="167"/>
      <c r="F21" s="505"/>
      <c r="G21" s="506"/>
      <c r="H21" s="169"/>
      <c r="I21" s="168"/>
      <c r="J21" s="168"/>
      <c r="K21" s="169"/>
      <c r="L21" s="166"/>
      <c r="M21" s="166"/>
      <c r="N21" s="169"/>
      <c r="O21" s="166"/>
      <c r="P21" s="166"/>
      <c r="Q21" s="169"/>
      <c r="R21" s="166"/>
      <c r="S21" s="166"/>
      <c r="T21" s="169"/>
      <c r="U21" s="317"/>
      <c r="V21" s="671"/>
      <c r="W21" s="317"/>
      <c r="X21" s="170"/>
      <c r="Y21" s="182"/>
      <c r="Z21" s="169"/>
      <c r="AA21" s="166"/>
      <c r="AB21" s="166"/>
      <c r="AC21" s="169"/>
      <c r="AD21" s="499"/>
      <c r="AE21" s="168"/>
      <c r="AF21" s="169"/>
      <c r="AH21" s="90"/>
    </row>
    <row r="22" spans="1:34" s="87" customFormat="1" ht="12.75">
      <c r="A22" s="438" t="s">
        <v>64</v>
      </c>
      <c r="B22" s="439" t="s">
        <v>60</v>
      </c>
      <c r="C22" s="417">
        <f>SUM(C23:C28)</f>
        <v>576091</v>
      </c>
      <c r="D22" s="418">
        <f>SUM(D23:D28)</f>
        <v>566239</v>
      </c>
      <c r="E22" s="419">
        <f>+D22/C22</f>
        <v>0.983</v>
      </c>
      <c r="F22" s="497">
        <f>SUM(F23:F28)</f>
        <v>6716325</v>
      </c>
      <c r="G22" s="498">
        <f>SUM(G23:G28)</f>
        <v>7052793</v>
      </c>
      <c r="H22" s="419">
        <f>+G22/F22</f>
        <v>1.05</v>
      </c>
      <c r="I22" s="417">
        <f>SUM(I23:I28)</f>
        <v>192628</v>
      </c>
      <c r="J22" s="418">
        <f>SUM(J23:J28)</f>
        <v>187620</v>
      </c>
      <c r="K22" s="419">
        <f>+J22/I22</f>
        <v>0.974</v>
      </c>
      <c r="L22" s="417">
        <f>SUM(L23:L28)</f>
        <v>130494</v>
      </c>
      <c r="M22" s="418">
        <f>SUM(M23:M28)</f>
        <v>135660</v>
      </c>
      <c r="N22" s="419">
        <f>+M22/L22</f>
        <v>1.04</v>
      </c>
      <c r="O22" s="417">
        <f>SUM(O23:O28)</f>
        <v>884531</v>
      </c>
      <c r="P22" s="418">
        <f>SUM(P23:P28)</f>
        <v>884073</v>
      </c>
      <c r="Q22" s="419">
        <f>+P22/O22</f>
        <v>0.999</v>
      </c>
      <c r="R22" s="417">
        <f>SUM(R23:R28)</f>
        <v>194122</v>
      </c>
      <c r="S22" s="418">
        <f>SUM(S23:S28)</f>
        <v>225764</v>
      </c>
      <c r="T22" s="419">
        <f>+S22/R22</f>
        <v>1.163</v>
      </c>
      <c r="U22" s="417">
        <f>SUM(U23:U28)</f>
        <v>0</v>
      </c>
      <c r="V22" s="418">
        <f>SUM(V23:V28)</f>
        <v>2152209</v>
      </c>
      <c r="W22" s="419"/>
      <c r="X22" s="434">
        <f>SUM(X23:X28)</f>
        <v>8694191</v>
      </c>
      <c r="Y22" s="481">
        <f>SUM(Y23:Y28)</f>
        <v>11204358</v>
      </c>
      <c r="Z22" s="419">
        <f>+Y22/X22</f>
        <v>1.289</v>
      </c>
      <c r="AA22" s="417">
        <f>SUM(AA23:AA28)</f>
        <v>6162010</v>
      </c>
      <c r="AB22" s="418">
        <f>SUM(AB23:AB28)</f>
        <v>3364142</v>
      </c>
      <c r="AC22" s="419">
        <f t="shared" si="0"/>
        <v>0.546</v>
      </c>
      <c r="AD22" s="417">
        <f>SUM(AD23:AD28)</f>
        <v>14856201</v>
      </c>
      <c r="AE22" s="418">
        <f>SUM(AE23:AE28)</f>
        <v>14568500</v>
      </c>
      <c r="AF22" s="419">
        <f t="shared" si="1"/>
        <v>0.981</v>
      </c>
      <c r="AG22" s="90"/>
      <c r="AH22" s="90"/>
    </row>
    <row r="23" spans="1:34" ht="12.75">
      <c r="A23" s="440"/>
      <c r="B23" s="441" t="s">
        <v>200</v>
      </c>
      <c r="C23" s="423">
        <v>321829</v>
      </c>
      <c r="D23" s="35">
        <f>323408-12048+1700</f>
        <v>313060</v>
      </c>
      <c r="E23" s="420">
        <f>+D23/C23</f>
        <v>0.973</v>
      </c>
      <c r="F23" s="423">
        <f>'2.a.3.GI-hez tartozó egyéb int.'!R23</f>
        <v>3591371</v>
      </c>
      <c r="G23" s="35">
        <f>'2.a.3.GI-hez tartozó egyéb int.'!S23</f>
        <v>3701323</v>
      </c>
      <c r="H23" s="420">
        <f>+G23/F23</f>
        <v>1.031</v>
      </c>
      <c r="I23" s="423">
        <v>63688</v>
      </c>
      <c r="J23" s="35">
        <f>80501-10000</f>
        <v>70501</v>
      </c>
      <c r="K23" s="420">
        <f>+J23/I23</f>
        <v>1.107</v>
      </c>
      <c r="L23" s="423">
        <v>83678</v>
      </c>
      <c r="M23" s="35">
        <f>97644-8000</f>
        <v>89644</v>
      </c>
      <c r="N23" s="420">
        <f>+M23/L23</f>
        <v>1.071</v>
      </c>
      <c r="O23" s="423">
        <v>470000</v>
      </c>
      <c r="P23" s="35">
        <f>449601</f>
        <v>449601</v>
      </c>
      <c r="Q23" s="420">
        <f>+P23/O23</f>
        <v>0.957</v>
      </c>
      <c r="R23" s="423">
        <v>74112</v>
      </c>
      <c r="S23" s="35">
        <f>87213+19404-8000</f>
        <v>98617</v>
      </c>
      <c r="T23" s="420">
        <f>+S23/R23</f>
        <v>1.331</v>
      </c>
      <c r="U23" s="409"/>
      <c r="V23" s="124">
        <f>1317845-2029+4653-4653</f>
        <v>1315816</v>
      </c>
      <c r="W23" s="408"/>
      <c r="X23" s="432">
        <f aca="true" t="shared" si="7" ref="X23:X28">SUM(R23,O23,L23,I23,F23,C23)</f>
        <v>4604678</v>
      </c>
      <c r="Y23" s="202">
        <f aca="true" t="shared" si="8" ref="Y23:Y31">SUM(S23,P23,M23,J23,G23,D23,V23)</f>
        <v>6038562</v>
      </c>
      <c r="Z23" s="420">
        <f>+Y23/X23</f>
        <v>1.311</v>
      </c>
      <c r="AA23" s="423">
        <f>1490650+23936</f>
        <v>1514586</v>
      </c>
      <c r="AB23" s="35">
        <f>350+2228+2145+280-4653+4653</f>
        <v>5003</v>
      </c>
      <c r="AC23" s="420">
        <f t="shared" si="0"/>
        <v>0.003</v>
      </c>
      <c r="AD23" s="423">
        <f>SUM(AA23,X23)</f>
        <v>6119264</v>
      </c>
      <c r="AE23" s="35">
        <f>SUM(AB23,Y23)</f>
        <v>6043565</v>
      </c>
      <c r="AF23" s="420">
        <f t="shared" si="1"/>
        <v>0.988</v>
      </c>
      <c r="AG23" s="79"/>
      <c r="AH23" s="79"/>
    </row>
    <row r="24" spans="1:33" ht="12.75">
      <c r="A24" s="440"/>
      <c r="B24" s="441" t="s">
        <v>201</v>
      </c>
      <c r="C24" s="411">
        <v>86596</v>
      </c>
      <c r="D24" s="124">
        <f>87072-3253+459</f>
        <v>84278</v>
      </c>
      <c r="E24" s="420">
        <f>+D24/C24</f>
        <v>0.973</v>
      </c>
      <c r="F24" s="423">
        <f>'2.a.3.GI-hez tartozó egyéb int.'!R24</f>
        <v>954224</v>
      </c>
      <c r="G24" s="35">
        <f>'2.a.3.GI-hez tartozó egyéb int.'!S24</f>
        <v>983022</v>
      </c>
      <c r="H24" s="420">
        <f>+G24/F24</f>
        <v>1.03</v>
      </c>
      <c r="I24" s="423">
        <v>17196</v>
      </c>
      <c r="J24" s="35">
        <f>21549-2700</f>
        <v>18849</v>
      </c>
      <c r="K24" s="420">
        <f>+J24/I24</f>
        <v>1.096</v>
      </c>
      <c r="L24" s="411">
        <v>22593</v>
      </c>
      <c r="M24" s="124">
        <f>26697-2160</f>
        <v>24537</v>
      </c>
      <c r="N24" s="420">
        <f>+M24/L24</f>
        <v>1.086</v>
      </c>
      <c r="O24" s="411">
        <v>124061</v>
      </c>
      <c r="P24" s="124">
        <f>121492</f>
        <v>121492</v>
      </c>
      <c r="Q24" s="420">
        <f>+P24/O24</f>
        <v>0.979</v>
      </c>
      <c r="R24" s="411">
        <v>20010</v>
      </c>
      <c r="S24" s="124">
        <f>25838+5363-2160-2414</f>
        <v>26627</v>
      </c>
      <c r="T24" s="420">
        <f>+S24/R24</f>
        <v>1.331</v>
      </c>
      <c r="U24" s="409"/>
      <c r="V24" s="124">
        <f>306494-548+1256-1256</f>
        <v>305946</v>
      </c>
      <c r="W24" s="408"/>
      <c r="X24" s="432">
        <f t="shared" si="7"/>
        <v>1224680</v>
      </c>
      <c r="Y24" s="202">
        <f t="shared" si="8"/>
        <v>1564751</v>
      </c>
      <c r="Z24" s="420">
        <f>+Y24/X24</f>
        <v>1.278</v>
      </c>
      <c r="AA24" s="423">
        <f>356186+6285</f>
        <v>362471</v>
      </c>
      <c r="AB24" s="35">
        <f>95+602+578+76-1256+1256</f>
        <v>1351</v>
      </c>
      <c r="AC24" s="420">
        <f t="shared" si="0"/>
        <v>0.004</v>
      </c>
      <c r="AD24" s="423">
        <f aca="true" t="shared" si="9" ref="AD24:AE35">SUM(AA24,X24)</f>
        <v>1587151</v>
      </c>
      <c r="AE24" s="35">
        <f aca="true" t="shared" si="10" ref="AE24:AE30">SUM(AB24,Y24)</f>
        <v>1566102</v>
      </c>
      <c r="AF24" s="420">
        <f t="shared" si="1"/>
        <v>0.987</v>
      </c>
      <c r="AG24" s="79"/>
    </row>
    <row r="25" spans="1:36" ht="12.75">
      <c r="A25" s="440"/>
      <c r="B25" s="441" t="s">
        <v>202</v>
      </c>
      <c r="C25" s="411">
        <v>167666</v>
      </c>
      <c r="D25" s="124">
        <f>168901</f>
        <v>168901</v>
      </c>
      <c r="E25" s="420">
        <f>+D25/C25</f>
        <v>1.007</v>
      </c>
      <c r="F25" s="423">
        <f>'2.a.3.GI-hez tartozó egyéb int.'!R25</f>
        <v>2016558</v>
      </c>
      <c r="G25" s="35">
        <f>'2.a.3.GI-hez tartozó egyéb int.'!S25</f>
        <v>2204328</v>
      </c>
      <c r="H25" s="420">
        <f>+G25/F25</f>
        <v>1.093</v>
      </c>
      <c r="I25" s="423">
        <v>111744</v>
      </c>
      <c r="J25" s="35">
        <f>102270-4000</f>
        <v>98270</v>
      </c>
      <c r="K25" s="420">
        <f>+J25/I25</f>
        <v>0.879</v>
      </c>
      <c r="L25" s="411">
        <v>24223</v>
      </c>
      <c r="M25" s="124">
        <f>24479-3000</f>
        <v>21479</v>
      </c>
      <c r="N25" s="420">
        <f>+M25/L25</f>
        <v>0.887</v>
      </c>
      <c r="O25" s="411">
        <v>290000</v>
      </c>
      <c r="P25" s="124">
        <v>311680</v>
      </c>
      <c r="Q25" s="420">
        <f>+P25/O25</f>
        <v>1.075</v>
      </c>
      <c r="R25" s="411">
        <v>100000</v>
      </c>
      <c r="S25" s="124">
        <f>18260+99260-17000</f>
        <v>100520</v>
      </c>
      <c r="T25" s="420">
        <f>+S25/R25</f>
        <v>1.005</v>
      </c>
      <c r="U25" s="409"/>
      <c r="V25" s="124">
        <f>527697+2750</f>
        <v>530447</v>
      </c>
      <c r="W25" s="408"/>
      <c r="X25" s="432">
        <f t="shared" si="7"/>
        <v>2710191</v>
      </c>
      <c r="Y25" s="202">
        <f t="shared" si="8"/>
        <v>3435625</v>
      </c>
      <c r="Z25" s="420">
        <f>+Y25/X25</f>
        <v>1.268</v>
      </c>
      <c r="AA25" s="411">
        <f>2951454+3700</f>
        <v>2955154</v>
      </c>
      <c r="AB25" s="124">
        <v>1615188</v>
      </c>
      <c r="AC25" s="420">
        <f t="shared" si="0"/>
        <v>0.547</v>
      </c>
      <c r="AD25" s="423">
        <f t="shared" si="9"/>
        <v>5665345</v>
      </c>
      <c r="AE25" s="35">
        <f t="shared" si="10"/>
        <v>5050813</v>
      </c>
      <c r="AF25" s="420">
        <f t="shared" si="1"/>
        <v>0.892</v>
      </c>
      <c r="AG25" s="79"/>
      <c r="AJ25" s="79"/>
    </row>
    <row r="26" spans="1:34" ht="12.75">
      <c r="A26" s="440"/>
      <c r="B26" s="441" t="s">
        <v>203</v>
      </c>
      <c r="C26" s="411"/>
      <c r="D26" s="124"/>
      <c r="E26" s="420"/>
      <c r="F26" s="423">
        <f>'2.a.3.GI-hez tartozó egyéb int.'!R26</f>
        <v>154172</v>
      </c>
      <c r="G26" s="35">
        <f>'2.a.3.GI-hez tartozó egyéb int.'!S26</f>
        <v>164120</v>
      </c>
      <c r="H26" s="420">
        <f>+G26/F26</f>
        <v>1.065</v>
      </c>
      <c r="I26" s="423"/>
      <c r="J26" s="35"/>
      <c r="K26" s="420"/>
      <c r="L26" s="411"/>
      <c r="M26" s="124"/>
      <c r="N26" s="420"/>
      <c r="O26" s="411"/>
      <c r="P26" s="124"/>
      <c r="Q26" s="420"/>
      <c r="R26" s="411"/>
      <c r="S26" s="124"/>
      <c r="T26" s="420"/>
      <c r="U26" s="409"/>
      <c r="V26" s="124"/>
      <c r="W26" s="408"/>
      <c r="X26" s="432">
        <f t="shared" si="7"/>
        <v>154172</v>
      </c>
      <c r="Y26" s="202">
        <f t="shared" si="8"/>
        <v>164120</v>
      </c>
      <c r="Z26" s="420">
        <f>+Y26/X26</f>
        <v>1.065</v>
      </c>
      <c r="AA26" s="411">
        <f>'5.mell.átadott'!C65</f>
        <v>484749</v>
      </c>
      <c r="AB26" s="124">
        <f>'5.mell.átadott'!D65</f>
        <v>812050</v>
      </c>
      <c r="AC26" s="420">
        <f t="shared" si="0"/>
        <v>1.675</v>
      </c>
      <c r="AD26" s="423">
        <f t="shared" si="9"/>
        <v>638921</v>
      </c>
      <c r="AE26" s="35">
        <f t="shared" si="10"/>
        <v>976170</v>
      </c>
      <c r="AF26" s="420">
        <f t="shared" si="1"/>
        <v>1.528</v>
      </c>
      <c r="AG26" s="79"/>
      <c r="AH26" s="79"/>
    </row>
    <row r="27" spans="1:33" ht="12.75">
      <c r="A27" s="440"/>
      <c r="B27" s="441" t="s">
        <v>204</v>
      </c>
      <c r="C27" s="411"/>
      <c r="D27" s="124"/>
      <c r="E27" s="420"/>
      <c r="F27" s="423"/>
      <c r="G27" s="35"/>
      <c r="H27" s="420"/>
      <c r="I27" s="423"/>
      <c r="J27" s="35"/>
      <c r="K27" s="420"/>
      <c r="L27" s="411"/>
      <c r="M27" s="124"/>
      <c r="N27" s="420"/>
      <c r="O27" s="411"/>
      <c r="P27" s="124"/>
      <c r="Q27" s="420"/>
      <c r="R27" s="411"/>
      <c r="S27" s="124"/>
      <c r="T27" s="420"/>
      <c r="U27" s="409"/>
      <c r="V27" s="124"/>
      <c r="W27" s="408"/>
      <c r="X27" s="432"/>
      <c r="Y27" s="202"/>
      <c r="Z27" s="420"/>
      <c r="AA27" s="411">
        <v>845050</v>
      </c>
      <c r="AB27" s="124">
        <f>920550+10000</f>
        <v>930550</v>
      </c>
      <c r="AC27" s="420">
        <f t="shared" si="0"/>
        <v>1.101</v>
      </c>
      <c r="AD27" s="423">
        <f t="shared" si="9"/>
        <v>845050</v>
      </c>
      <c r="AE27" s="35">
        <f t="shared" si="9"/>
        <v>930550</v>
      </c>
      <c r="AF27" s="420">
        <f t="shared" si="1"/>
        <v>1.101</v>
      </c>
      <c r="AG27" s="79"/>
    </row>
    <row r="28" spans="1:33" ht="12.75">
      <c r="A28" s="440"/>
      <c r="B28" s="441" t="s">
        <v>205</v>
      </c>
      <c r="C28" s="411"/>
      <c r="D28" s="124"/>
      <c r="E28" s="420"/>
      <c r="F28" s="423"/>
      <c r="G28" s="35"/>
      <c r="H28" s="420"/>
      <c r="I28" s="423"/>
      <c r="J28" s="35"/>
      <c r="K28" s="420"/>
      <c r="L28" s="411"/>
      <c r="M28" s="124"/>
      <c r="N28" s="420"/>
      <c r="O28" s="411">
        <v>470</v>
      </c>
      <c r="P28" s="124">
        <v>1300</v>
      </c>
      <c r="Q28" s="420">
        <f>+P28/O28</f>
        <v>2.766</v>
      </c>
      <c r="R28" s="411"/>
      <c r="S28" s="124"/>
      <c r="T28" s="420"/>
      <c r="U28" s="409"/>
      <c r="V28" s="124"/>
      <c r="W28" s="408"/>
      <c r="X28" s="432">
        <f t="shared" si="7"/>
        <v>470</v>
      </c>
      <c r="Y28" s="202">
        <f t="shared" si="8"/>
        <v>1300</v>
      </c>
      <c r="Z28" s="420">
        <f>+Y28/X28</f>
        <v>2.766</v>
      </c>
      <c r="AA28" s="411"/>
      <c r="AB28" s="124"/>
      <c r="AC28" s="420"/>
      <c r="AD28" s="423">
        <f t="shared" si="9"/>
        <v>470</v>
      </c>
      <c r="AE28" s="35">
        <f t="shared" si="10"/>
        <v>1300</v>
      </c>
      <c r="AF28" s="420">
        <f t="shared" si="1"/>
        <v>2.766</v>
      </c>
      <c r="AG28" s="79"/>
    </row>
    <row r="29" spans="1:32" ht="12.75">
      <c r="A29" s="440" t="s">
        <v>66</v>
      </c>
      <c r="B29" s="441" t="s">
        <v>62</v>
      </c>
      <c r="C29" s="411"/>
      <c r="D29" s="124"/>
      <c r="E29" s="420"/>
      <c r="F29" s="423">
        <f>'2.a.3.GI-hez tartozó egyéb int.'!R29</f>
        <v>22473</v>
      </c>
      <c r="G29" s="35">
        <f>'2.a.3.GI-hez tartozó egyéb int.'!S29</f>
        <v>13335</v>
      </c>
      <c r="H29" s="420">
        <f>+G29/F29</f>
        <v>0.593</v>
      </c>
      <c r="I29" s="423">
        <v>3300</v>
      </c>
      <c r="J29" s="35"/>
      <c r="K29" s="420"/>
      <c r="L29" s="411">
        <v>1600</v>
      </c>
      <c r="M29" s="124"/>
      <c r="N29" s="420">
        <f>+M29/L29</f>
        <v>0</v>
      </c>
      <c r="O29" s="411"/>
      <c r="P29" s="124"/>
      <c r="Q29" s="420"/>
      <c r="R29" s="411"/>
      <c r="S29" s="124"/>
      <c r="T29" s="420"/>
      <c r="U29" s="409"/>
      <c r="V29" s="124"/>
      <c r="W29" s="408"/>
      <c r="X29" s="432">
        <f>SUM(R29,O29,L29,I29,F29,C29)</f>
        <v>27373</v>
      </c>
      <c r="Y29" s="202">
        <f t="shared" si="8"/>
        <v>13335</v>
      </c>
      <c r="Z29" s="420">
        <f>+Y29/X29</f>
        <v>0.487</v>
      </c>
      <c r="AA29" s="411">
        <f>'3.b.mell.Önko.felúj.'!C9</f>
        <v>222027</v>
      </c>
      <c r="AB29" s="124">
        <f>'3.b.mell.Önko.felúj.'!D9</f>
        <v>152448</v>
      </c>
      <c r="AC29" s="420">
        <f t="shared" si="0"/>
        <v>0.687</v>
      </c>
      <c r="AD29" s="423">
        <f t="shared" si="9"/>
        <v>249400</v>
      </c>
      <c r="AE29" s="35">
        <f t="shared" si="10"/>
        <v>165783</v>
      </c>
      <c r="AF29" s="420">
        <f t="shared" si="1"/>
        <v>0.665</v>
      </c>
    </row>
    <row r="30" spans="1:32" ht="12.75">
      <c r="A30" s="440" t="s">
        <v>68</v>
      </c>
      <c r="B30" s="80" t="s">
        <v>446</v>
      </c>
      <c r="C30" s="411"/>
      <c r="D30" s="124"/>
      <c r="E30" s="420"/>
      <c r="F30" s="423">
        <f>'2.a.3.GI-hez tartozó egyéb int.'!R30</f>
        <v>25000</v>
      </c>
      <c r="G30" s="35">
        <f>'2.a.3.GI-hez tartozó egyéb int.'!S30</f>
        <v>25142</v>
      </c>
      <c r="H30" s="420">
        <f>+G30/F30</f>
        <v>1.006</v>
      </c>
      <c r="I30" s="423"/>
      <c r="J30" s="35"/>
      <c r="K30" s="420"/>
      <c r="L30" s="411"/>
      <c r="M30" s="124"/>
      <c r="N30" s="420"/>
      <c r="O30" s="411"/>
      <c r="P30" s="124"/>
      <c r="Q30" s="420"/>
      <c r="R30" s="411"/>
      <c r="S30" s="124"/>
      <c r="T30" s="420"/>
      <c r="U30" s="409"/>
      <c r="V30" s="124">
        <f>'4.a.mell.intézményi.beruházás.'!D11</f>
        <v>37846</v>
      </c>
      <c r="W30" s="408"/>
      <c r="X30" s="432">
        <f>SUM(R30,O30,L30,I30,F30,C30)</f>
        <v>25000</v>
      </c>
      <c r="Y30" s="202">
        <f t="shared" si="8"/>
        <v>62988</v>
      </c>
      <c r="Z30" s="420">
        <f>+Y30/X30</f>
        <v>2.52</v>
      </c>
      <c r="AA30" s="411">
        <f>'4.b.mell.Önko.beruházás'!C36</f>
        <v>440939</v>
      </c>
      <c r="AB30" s="124">
        <f>'4.b.mell.Önko.beruházás'!D36</f>
        <v>783783</v>
      </c>
      <c r="AC30" s="420">
        <f t="shared" si="0"/>
        <v>1.778</v>
      </c>
      <c r="AD30" s="423">
        <f t="shared" si="9"/>
        <v>465939</v>
      </c>
      <c r="AE30" s="35">
        <f t="shared" si="10"/>
        <v>846771</v>
      </c>
      <c r="AF30" s="420">
        <f t="shared" si="1"/>
        <v>1.817</v>
      </c>
    </row>
    <row r="31" spans="1:32" ht="12.75">
      <c r="A31" s="440" t="s">
        <v>70</v>
      </c>
      <c r="B31" s="441" t="s">
        <v>65</v>
      </c>
      <c r="C31" s="411"/>
      <c r="D31" s="124"/>
      <c r="E31" s="420"/>
      <c r="F31" s="423"/>
      <c r="G31" s="35"/>
      <c r="H31" s="420"/>
      <c r="I31" s="423"/>
      <c r="J31" s="35"/>
      <c r="K31" s="420"/>
      <c r="L31" s="411"/>
      <c r="M31" s="124"/>
      <c r="N31" s="420"/>
      <c r="O31" s="411"/>
      <c r="P31" s="124"/>
      <c r="Q31" s="420"/>
      <c r="R31" s="411"/>
      <c r="S31" s="124"/>
      <c r="T31" s="420"/>
      <c r="U31" s="409"/>
      <c r="V31" s="124">
        <f>+'1.b. Felh. bev. és kiad.'!D36</f>
        <v>16500</v>
      </c>
      <c r="W31" s="408"/>
      <c r="X31" s="432"/>
      <c r="Y31" s="202">
        <f t="shared" si="8"/>
        <v>16500</v>
      </c>
      <c r="Z31" s="420"/>
      <c r="AA31" s="411">
        <f>'1.b. Felh. bev. és kiad.'!C36</f>
        <v>13000</v>
      </c>
      <c r="AB31" s="124"/>
      <c r="AC31" s="420">
        <f t="shared" si="0"/>
        <v>0</v>
      </c>
      <c r="AD31" s="423">
        <f t="shared" si="9"/>
        <v>13000</v>
      </c>
      <c r="AE31" s="35">
        <f t="shared" si="9"/>
        <v>16500</v>
      </c>
      <c r="AF31" s="420">
        <f t="shared" si="1"/>
        <v>1.269</v>
      </c>
    </row>
    <row r="32" spans="1:32" ht="12.75">
      <c r="A32" s="440" t="s">
        <v>183</v>
      </c>
      <c r="B32" s="441" t="s">
        <v>67</v>
      </c>
      <c r="C32" s="411"/>
      <c r="D32" s="124"/>
      <c r="E32" s="420"/>
      <c r="F32" s="423"/>
      <c r="G32" s="35"/>
      <c r="H32" s="420"/>
      <c r="I32" s="423"/>
      <c r="J32" s="35"/>
      <c r="K32" s="420"/>
      <c r="L32" s="411"/>
      <c r="M32" s="124"/>
      <c r="N32" s="420"/>
      <c r="O32" s="411"/>
      <c r="P32" s="124"/>
      <c r="Q32" s="420"/>
      <c r="R32" s="411"/>
      <c r="S32" s="124"/>
      <c r="T32" s="420"/>
      <c r="U32" s="409"/>
      <c r="V32" s="124"/>
      <c r="W32" s="408"/>
      <c r="X32" s="432"/>
      <c r="Y32" s="202"/>
      <c r="Z32" s="420"/>
      <c r="AA32" s="411">
        <f>'6. mell.tartalékok'!C63</f>
        <v>970052</v>
      </c>
      <c r="AB32" s="124">
        <f>'6. mell.tartalékok'!D63</f>
        <v>943215</v>
      </c>
      <c r="AC32" s="420">
        <f t="shared" si="0"/>
        <v>0.972</v>
      </c>
      <c r="AD32" s="423">
        <f t="shared" si="9"/>
        <v>970052</v>
      </c>
      <c r="AE32" s="35">
        <f t="shared" si="9"/>
        <v>943215</v>
      </c>
      <c r="AF32" s="420">
        <f t="shared" si="1"/>
        <v>0.972</v>
      </c>
    </row>
    <row r="33" spans="1:32" ht="13.5" thickBot="1">
      <c r="A33" s="443" t="s">
        <v>184</v>
      </c>
      <c r="B33" s="444" t="s">
        <v>69</v>
      </c>
      <c r="C33" s="421"/>
      <c r="D33" s="422"/>
      <c r="E33" s="413"/>
      <c r="F33" s="423"/>
      <c r="G33" s="35"/>
      <c r="H33" s="413"/>
      <c r="I33" s="429"/>
      <c r="J33" s="430"/>
      <c r="K33" s="413"/>
      <c r="L33" s="421"/>
      <c r="M33" s="422"/>
      <c r="N33" s="413"/>
      <c r="O33" s="421"/>
      <c r="P33" s="422"/>
      <c r="Q33" s="413"/>
      <c r="R33" s="421"/>
      <c r="S33" s="422"/>
      <c r="T33" s="413"/>
      <c r="U33" s="412"/>
      <c r="V33" s="124"/>
      <c r="W33" s="413"/>
      <c r="X33" s="433"/>
      <c r="Y33" s="202"/>
      <c r="Z33" s="413"/>
      <c r="AA33" s="421"/>
      <c r="AB33" s="422"/>
      <c r="AC33" s="413"/>
      <c r="AD33" s="429"/>
      <c r="AE33" s="430"/>
      <c r="AF33" s="413"/>
    </row>
    <row r="34" spans="1:34" s="87" customFormat="1" ht="14.25" thickBot="1" thickTop="1">
      <c r="A34" s="171" t="s">
        <v>468</v>
      </c>
      <c r="B34" s="86" t="s">
        <v>324</v>
      </c>
      <c r="C34" s="174">
        <f>SUM(C29:C33)+C22</f>
        <v>576091</v>
      </c>
      <c r="D34" s="172">
        <f>SUM(D29:D33)+D22</f>
        <v>566239</v>
      </c>
      <c r="E34" s="173">
        <f>+D34/C34</f>
        <v>0.983</v>
      </c>
      <c r="F34" s="174">
        <f>SUM(F29:F33)+F22</f>
        <v>6763798</v>
      </c>
      <c r="G34" s="172">
        <f>SUM(G29:G33)+G22</f>
        <v>7091270</v>
      </c>
      <c r="H34" s="173">
        <f>+G34/F34</f>
        <v>1.048</v>
      </c>
      <c r="I34" s="172">
        <f aca="true" t="shared" si="11" ref="I34:AE34">SUM(I29:I33)+I22</f>
        <v>195928</v>
      </c>
      <c r="J34" s="172">
        <f t="shared" si="11"/>
        <v>187620</v>
      </c>
      <c r="K34" s="173">
        <f>+J34/I34</f>
        <v>0.958</v>
      </c>
      <c r="L34" s="172">
        <f t="shared" si="11"/>
        <v>132094</v>
      </c>
      <c r="M34" s="172">
        <f t="shared" si="11"/>
        <v>135660</v>
      </c>
      <c r="N34" s="173">
        <f>+M34/L34</f>
        <v>1.027</v>
      </c>
      <c r="O34" s="172">
        <f t="shared" si="11"/>
        <v>884531</v>
      </c>
      <c r="P34" s="172">
        <f t="shared" si="11"/>
        <v>884073</v>
      </c>
      <c r="Q34" s="173">
        <f>+P34/O34</f>
        <v>0.999</v>
      </c>
      <c r="R34" s="172">
        <f t="shared" si="11"/>
        <v>194122</v>
      </c>
      <c r="S34" s="172">
        <f t="shared" si="11"/>
        <v>225764</v>
      </c>
      <c r="T34" s="173">
        <f>+S34/R34</f>
        <v>1.163</v>
      </c>
      <c r="U34" s="174">
        <f>SUM(U29:U33)+U22</f>
        <v>0</v>
      </c>
      <c r="V34" s="172">
        <f>SUM(V29:V33)+V22</f>
        <v>2206555</v>
      </c>
      <c r="W34" s="173"/>
      <c r="X34" s="174">
        <f t="shared" si="11"/>
        <v>8746564</v>
      </c>
      <c r="Y34" s="172">
        <f t="shared" si="11"/>
        <v>11297181</v>
      </c>
      <c r="Z34" s="173">
        <f>+Y34/X34</f>
        <v>1.292</v>
      </c>
      <c r="AA34" s="174">
        <f t="shared" si="11"/>
        <v>7808028</v>
      </c>
      <c r="AB34" s="172">
        <f t="shared" si="11"/>
        <v>5243588</v>
      </c>
      <c r="AC34" s="173">
        <f t="shared" si="0"/>
        <v>0.672</v>
      </c>
      <c r="AD34" s="174">
        <f t="shared" si="11"/>
        <v>16554592</v>
      </c>
      <c r="AE34" s="172">
        <f t="shared" si="11"/>
        <v>16540769</v>
      </c>
      <c r="AF34" s="173">
        <f t="shared" si="1"/>
        <v>0.999</v>
      </c>
      <c r="AH34" s="90"/>
    </row>
    <row r="35" spans="1:34" ht="14.25" thickBot="1" thickTop="1">
      <c r="A35" s="458"/>
      <c r="B35" s="500" t="s">
        <v>84</v>
      </c>
      <c r="C35" s="435">
        <v>164</v>
      </c>
      <c r="D35" s="181">
        <f>162.5-6.25</f>
        <v>156.25</v>
      </c>
      <c r="E35" s="175">
        <f>+D35/C35</f>
        <v>0.953</v>
      </c>
      <c r="F35" s="435">
        <f>'2.a.3.GI-hez tartozó egyéb int.'!R35</f>
        <v>1763.4</v>
      </c>
      <c r="G35" s="181">
        <f>'2.a.3.GI-hez tartozó egyéb int.'!S35</f>
        <v>1760</v>
      </c>
      <c r="H35" s="175">
        <f>+G35/F35</f>
        <v>0.998</v>
      </c>
      <c r="I35" s="179">
        <v>39</v>
      </c>
      <c r="J35" s="179">
        <v>39</v>
      </c>
      <c r="K35" s="175">
        <f>+J35/I35</f>
        <v>1</v>
      </c>
      <c r="L35" s="436">
        <v>12</v>
      </c>
      <c r="M35" s="437">
        <v>12</v>
      </c>
      <c r="N35" s="175">
        <f>+M35/L35</f>
        <v>1</v>
      </c>
      <c r="O35" s="435">
        <v>161</v>
      </c>
      <c r="P35" s="181">
        <v>161</v>
      </c>
      <c r="Q35" s="175">
        <f>+P35/O35</f>
        <v>1</v>
      </c>
      <c r="R35" s="181">
        <v>38</v>
      </c>
      <c r="S35" s="181">
        <f>38+11</f>
        <v>49</v>
      </c>
      <c r="T35" s="175">
        <f>+S35/R35</f>
        <v>1.289</v>
      </c>
      <c r="U35" s="431"/>
      <c r="V35" s="183">
        <v>305</v>
      </c>
      <c r="W35" s="175"/>
      <c r="X35" s="178">
        <f>SUM(R35,O35,L35,I35,F35,C35)</f>
        <v>2177.4</v>
      </c>
      <c r="Y35" s="183">
        <f>SUM(S35,P35,M35,J35,G35,D35,V35)</f>
        <v>2482.25</v>
      </c>
      <c r="Z35" s="175">
        <f>+Y35/X35</f>
        <v>1.14</v>
      </c>
      <c r="AA35" s="435">
        <v>301</v>
      </c>
      <c r="AB35" s="181"/>
      <c r="AC35" s="175">
        <f t="shared" si="0"/>
        <v>0</v>
      </c>
      <c r="AD35" s="435">
        <f t="shared" si="9"/>
        <v>2478.4</v>
      </c>
      <c r="AE35" s="181">
        <f t="shared" si="9"/>
        <v>2482.25</v>
      </c>
      <c r="AF35" s="175">
        <f t="shared" si="1"/>
        <v>1.002</v>
      </c>
      <c r="AH35" s="79"/>
    </row>
    <row r="36" ht="13.5" thickTop="1">
      <c r="AH36" s="79"/>
    </row>
    <row r="37" spans="28:31" ht="12.75">
      <c r="AB37" s="79"/>
      <c r="AC37" s="79"/>
      <c r="AE37" s="79"/>
    </row>
    <row r="38" ht="12.75">
      <c r="AA38" s="79"/>
    </row>
    <row r="39" spans="22:28" ht="12.75">
      <c r="V39" s="79"/>
      <c r="AB39" s="79"/>
    </row>
    <row r="40" spans="22:28" ht="12.75">
      <c r="V40" s="79"/>
      <c r="AA40" s="79"/>
      <c r="AB40" s="79"/>
    </row>
    <row r="41" ht="12.75">
      <c r="AB41" s="79"/>
    </row>
    <row r="45" ht="12.75">
      <c r="AA45" s="79"/>
    </row>
    <row r="46" ht="12.75">
      <c r="AA46" s="79"/>
    </row>
    <row r="47" ht="12.75">
      <c r="AA47" s="79"/>
    </row>
  </sheetData>
  <sheetProtection/>
  <mergeCells count="12">
    <mergeCell ref="U1:W2"/>
    <mergeCell ref="X1:Z2"/>
    <mergeCell ref="A1:B2"/>
    <mergeCell ref="A3:B3"/>
    <mergeCell ref="C1:E2"/>
    <mergeCell ref="F1:H2"/>
    <mergeCell ref="AA1:AC2"/>
    <mergeCell ref="AD1:AF2"/>
    <mergeCell ref="I1:K2"/>
    <mergeCell ref="L1:N2"/>
    <mergeCell ref="O1:Q2"/>
    <mergeCell ref="R1:T2"/>
  </mergeCells>
  <printOptions horizontalCentered="1" verticalCentered="1"/>
  <pageMargins left="0.7874015748031497" right="0.6299212598425197" top="1.4173228346456694" bottom="0.984251968503937" header="0.7480314960629921" footer="0.5118110236220472"/>
  <pageSetup horizontalDpi="300" verticalDpi="300" orientation="landscape" paperSize="9" scale="77" r:id="rId1"/>
  <headerFooter alignWithMargins="0">
    <oddHeader>&amp;C&amp;"Times New Roman,Félkövér"A 9/2012. (II.24.) önko. rendelethez a Budapest Főváros IV. kerület Újpest Önkormányzat önállóan működő és gazdálkodó intézményeinek bevételei és kiadásai mérlegéről&amp;R
&amp;"Times New Roman,Normál"2. sz. melléklet
eFt-ban</oddHeader>
    <oddFooter>&amp;C&amp;"Times New Roman,Normál"&amp;P</oddFooter>
  </headerFooter>
  <colBreaks count="3" manualBreakCount="3">
    <brk id="11" max="36" man="1"/>
    <brk id="20" max="34" man="1"/>
    <brk id="29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4740" topLeftCell="AK1" activePane="topLeft" state="split"/>
      <selection pane="topLeft" activeCell="A1" sqref="A1:B2"/>
      <selection pane="topRight" activeCell="AQ25" sqref="AQ25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4" width="12.7109375" style="1" customWidth="1"/>
    <col min="5" max="5" width="10.57421875" style="1" customWidth="1"/>
    <col min="6" max="7" width="12.7109375" style="1" customWidth="1"/>
    <col min="8" max="8" width="10.57421875" style="1" customWidth="1"/>
    <col min="9" max="10" width="12.7109375" style="1" customWidth="1"/>
    <col min="11" max="11" width="10.57421875" style="1" customWidth="1"/>
    <col min="12" max="13" width="12.7109375" style="1" customWidth="1"/>
    <col min="14" max="14" width="10.57421875" style="1" customWidth="1"/>
    <col min="15" max="16" width="12.7109375" style="1" customWidth="1"/>
    <col min="17" max="17" width="10.57421875" style="1" customWidth="1"/>
    <col min="18" max="19" width="12.7109375" style="1" customWidth="1"/>
    <col min="20" max="20" width="10.57421875" style="1" customWidth="1"/>
    <col min="21" max="22" width="12.7109375" style="1" customWidth="1"/>
    <col min="23" max="23" width="10.57421875" style="1" customWidth="1"/>
    <col min="24" max="25" width="12.7109375" style="1" customWidth="1"/>
    <col min="26" max="26" width="10.57421875" style="1" customWidth="1"/>
    <col min="27" max="28" width="12.7109375" style="1" customWidth="1"/>
    <col min="29" max="29" width="10.57421875" style="1" customWidth="1"/>
    <col min="30" max="31" width="12.7109375" style="1" customWidth="1"/>
    <col min="32" max="32" width="10.57421875" style="1" customWidth="1"/>
    <col min="33" max="34" width="12.7109375" style="1" customWidth="1"/>
    <col min="35" max="35" width="10.57421875" style="1" customWidth="1"/>
    <col min="36" max="37" width="12.7109375" style="1" customWidth="1"/>
    <col min="38" max="38" width="10.57421875" style="1" customWidth="1"/>
    <col min="39" max="40" width="12.7109375" style="1" customWidth="1"/>
    <col min="41" max="41" width="10.57421875" style="1" customWidth="1"/>
    <col min="42" max="43" width="12.7109375" style="1" customWidth="1"/>
    <col min="44" max="44" width="10.57421875" style="1" customWidth="1"/>
    <col min="45" max="46" width="12.7109375" style="1" customWidth="1"/>
    <col min="47" max="47" width="10.57421875" style="1" customWidth="1"/>
    <col min="48" max="48" width="9.140625" style="1" customWidth="1"/>
    <col min="49" max="49" width="11.28125" style="1" customWidth="1"/>
    <col min="50" max="16384" width="9.140625" style="1" customWidth="1"/>
  </cols>
  <sheetData>
    <row r="1" spans="1:47" s="38" customFormat="1" ht="12.75">
      <c r="A1" s="718" t="s">
        <v>325</v>
      </c>
      <c r="B1" s="717"/>
      <c r="C1" s="716" t="s">
        <v>262</v>
      </c>
      <c r="D1" s="717"/>
      <c r="E1" s="717"/>
      <c r="F1" s="713" t="s">
        <v>263</v>
      </c>
      <c r="G1" s="713"/>
      <c r="H1" s="713"/>
      <c r="I1" s="713" t="s">
        <v>264</v>
      </c>
      <c r="J1" s="713"/>
      <c r="K1" s="713"/>
      <c r="L1" s="713" t="s">
        <v>265</v>
      </c>
      <c r="M1" s="713"/>
      <c r="N1" s="713"/>
      <c r="O1" s="713" t="s">
        <v>266</v>
      </c>
      <c r="P1" s="713"/>
      <c r="Q1" s="713"/>
      <c r="R1" s="713" t="s">
        <v>268</v>
      </c>
      <c r="S1" s="713"/>
      <c r="T1" s="713"/>
      <c r="U1" s="713" t="s">
        <v>269</v>
      </c>
      <c r="V1" s="713"/>
      <c r="W1" s="713"/>
      <c r="X1" s="713" t="s">
        <v>73</v>
      </c>
      <c r="Y1" s="713"/>
      <c r="Z1" s="713"/>
      <c r="AA1" s="713" t="s">
        <v>270</v>
      </c>
      <c r="AB1" s="713"/>
      <c r="AC1" s="713"/>
      <c r="AD1" s="713" t="s">
        <v>271</v>
      </c>
      <c r="AE1" s="713"/>
      <c r="AF1" s="713"/>
      <c r="AG1" s="713" t="s">
        <v>272</v>
      </c>
      <c r="AH1" s="713"/>
      <c r="AI1" s="713"/>
      <c r="AJ1" s="713" t="s">
        <v>273</v>
      </c>
      <c r="AK1" s="713"/>
      <c r="AL1" s="713"/>
      <c r="AM1" s="713" t="s">
        <v>274</v>
      </c>
      <c r="AN1" s="713"/>
      <c r="AO1" s="713"/>
      <c r="AP1" s="713" t="s">
        <v>74</v>
      </c>
      <c r="AQ1" s="713"/>
      <c r="AR1" s="713"/>
      <c r="AS1" s="713" t="s">
        <v>337</v>
      </c>
      <c r="AT1" s="719"/>
      <c r="AU1" s="719"/>
    </row>
    <row r="2" spans="1:47" s="38" customFormat="1" ht="12.75">
      <c r="A2" s="702"/>
      <c r="B2" s="703"/>
      <c r="C2" s="707"/>
      <c r="D2" s="707"/>
      <c r="E2" s="707"/>
      <c r="F2" s="715"/>
      <c r="G2" s="715"/>
      <c r="H2" s="715"/>
      <c r="I2" s="714" t="s">
        <v>333</v>
      </c>
      <c r="J2" s="714"/>
      <c r="K2" s="714"/>
      <c r="L2" s="715"/>
      <c r="M2" s="715"/>
      <c r="N2" s="715"/>
      <c r="O2" s="714" t="s">
        <v>267</v>
      </c>
      <c r="P2" s="715"/>
      <c r="Q2" s="715"/>
      <c r="R2" s="715"/>
      <c r="S2" s="715"/>
      <c r="T2" s="715"/>
      <c r="U2" s="715"/>
      <c r="V2" s="715"/>
      <c r="W2" s="715"/>
      <c r="X2" s="714" t="s">
        <v>334</v>
      </c>
      <c r="Y2" s="714"/>
      <c r="Z2" s="714"/>
      <c r="AA2" s="715"/>
      <c r="AB2" s="715"/>
      <c r="AC2" s="715"/>
      <c r="AD2" s="715"/>
      <c r="AE2" s="715"/>
      <c r="AF2" s="715"/>
      <c r="AG2" s="714" t="s">
        <v>335</v>
      </c>
      <c r="AH2" s="714"/>
      <c r="AI2" s="714"/>
      <c r="AJ2" s="715"/>
      <c r="AK2" s="715"/>
      <c r="AL2" s="715"/>
      <c r="AM2" s="715"/>
      <c r="AN2" s="715"/>
      <c r="AO2" s="715"/>
      <c r="AP2" s="714" t="s">
        <v>336</v>
      </c>
      <c r="AQ2" s="714"/>
      <c r="AR2" s="714"/>
      <c r="AS2" s="715"/>
      <c r="AT2" s="715"/>
      <c r="AU2" s="715"/>
    </row>
    <row r="3" spans="1:48" s="38" customFormat="1" ht="26.25" thickBot="1">
      <c r="A3" s="704" t="s">
        <v>72</v>
      </c>
      <c r="B3" s="705"/>
      <c r="C3" s="335" t="s">
        <v>316</v>
      </c>
      <c r="D3" s="332" t="s">
        <v>318</v>
      </c>
      <c r="E3" s="345" t="s">
        <v>35</v>
      </c>
      <c r="F3" s="346" t="s">
        <v>316</v>
      </c>
      <c r="G3" s="332" t="s">
        <v>318</v>
      </c>
      <c r="H3" s="345" t="s">
        <v>35</v>
      </c>
      <c r="I3" s="346" t="s">
        <v>316</v>
      </c>
      <c r="J3" s="332" t="s">
        <v>318</v>
      </c>
      <c r="K3" s="345" t="s">
        <v>35</v>
      </c>
      <c r="L3" s="346" t="s">
        <v>316</v>
      </c>
      <c r="M3" s="332" t="s">
        <v>318</v>
      </c>
      <c r="N3" s="345" t="s">
        <v>35</v>
      </c>
      <c r="O3" s="346" t="s">
        <v>316</v>
      </c>
      <c r="P3" s="332" t="s">
        <v>318</v>
      </c>
      <c r="Q3" s="345" t="s">
        <v>35</v>
      </c>
      <c r="R3" s="346" t="s">
        <v>316</v>
      </c>
      <c r="S3" s="332" t="s">
        <v>318</v>
      </c>
      <c r="T3" s="345" t="s">
        <v>35</v>
      </c>
      <c r="U3" s="346" t="s">
        <v>316</v>
      </c>
      <c r="V3" s="332" t="s">
        <v>318</v>
      </c>
      <c r="W3" s="345" t="s">
        <v>35</v>
      </c>
      <c r="X3" s="346" t="s">
        <v>316</v>
      </c>
      <c r="Y3" s="332" t="s">
        <v>318</v>
      </c>
      <c r="Z3" s="345" t="s">
        <v>35</v>
      </c>
      <c r="AA3" s="346" t="s">
        <v>316</v>
      </c>
      <c r="AB3" s="332" t="s">
        <v>318</v>
      </c>
      <c r="AC3" s="345" t="s">
        <v>35</v>
      </c>
      <c r="AD3" s="346" t="s">
        <v>316</v>
      </c>
      <c r="AE3" s="332" t="s">
        <v>318</v>
      </c>
      <c r="AF3" s="345" t="s">
        <v>35</v>
      </c>
      <c r="AG3" s="346" t="s">
        <v>316</v>
      </c>
      <c r="AH3" s="332" t="s">
        <v>318</v>
      </c>
      <c r="AI3" s="345" t="s">
        <v>35</v>
      </c>
      <c r="AJ3" s="346" t="s">
        <v>316</v>
      </c>
      <c r="AK3" s="332" t="s">
        <v>318</v>
      </c>
      <c r="AL3" s="345" t="s">
        <v>35</v>
      </c>
      <c r="AM3" s="346" t="s">
        <v>316</v>
      </c>
      <c r="AN3" s="332" t="s">
        <v>318</v>
      </c>
      <c r="AO3" s="345" t="s">
        <v>35</v>
      </c>
      <c r="AP3" s="346" t="s">
        <v>316</v>
      </c>
      <c r="AQ3" s="332" t="s">
        <v>318</v>
      </c>
      <c r="AR3" s="345" t="s">
        <v>35</v>
      </c>
      <c r="AS3" s="346" t="s">
        <v>316</v>
      </c>
      <c r="AT3" s="332" t="s">
        <v>318</v>
      </c>
      <c r="AU3" s="345" t="s">
        <v>35</v>
      </c>
      <c r="AV3" s="81"/>
    </row>
    <row r="4" spans="1:48" ht="19.5" customHeight="1">
      <c r="A4" s="322" t="s">
        <v>37</v>
      </c>
      <c r="B4" s="427"/>
      <c r="C4" s="507"/>
      <c r="D4" s="508"/>
      <c r="E4" s="509"/>
      <c r="F4" s="507"/>
      <c r="G4" s="508"/>
      <c r="H4" s="509"/>
      <c r="I4" s="507"/>
      <c r="J4" s="508"/>
      <c r="K4" s="509"/>
      <c r="L4" s="507"/>
      <c r="M4" s="508"/>
      <c r="N4" s="509"/>
      <c r="O4" s="507"/>
      <c r="P4" s="508"/>
      <c r="Q4" s="509"/>
      <c r="R4" s="507"/>
      <c r="S4" s="508"/>
      <c r="T4" s="509"/>
      <c r="U4" s="507"/>
      <c r="V4" s="508"/>
      <c r="W4" s="509"/>
      <c r="X4" s="507"/>
      <c r="Y4" s="508"/>
      <c r="Z4" s="509"/>
      <c r="AA4" s="507"/>
      <c r="AB4" s="508"/>
      <c r="AC4" s="509"/>
      <c r="AD4" s="507"/>
      <c r="AE4" s="508"/>
      <c r="AF4" s="509"/>
      <c r="AG4" s="507"/>
      <c r="AH4" s="508"/>
      <c r="AI4" s="509"/>
      <c r="AJ4" s="507"/>
      <c r="AK4" s="508"/>
      <c r="AL4" s="509"/>
      <c r="AM4" s="507"/>
      <c r="AN4" s="508"/>
      <c r="AO4" s="509"/>
      <c r="AP4" s="507"/>
      <c r="AQ4" s="508"/>
      <c r="AR4" s="509"/>
      <c r="AS4" s="510"/>
      <c r="AT4" s="511"/>
      <c r="AU4" s="512"/>
      <c r="AV4" s="329"/>
    </row>
    <row r="5" spans="1:48" s="87" customFormat="1" ht="12.75">
      <c r="A5" s="438" t="s">
        <v>38</v>
      </c>
      <c r="B5" s="439" t="s">
        <v>39</v>
      </c>
      <c r="C5" s="365">
        <f>SUM(C6:C8)</f>
        <v>0</v>
      </c>
      <c r="D5" s="331">
        <f>SUM(D6:D8)</f>
        <v>0</v>
      </c>
      <c r="E5" s="367"/>
      <c r="F5" s="365">
        <f>SUM(F6:F8)</f>
        <v>16</v>
      </c>
      <c r="G5" s="331">
        <f>SUM(G6:G8)</f>
        <v>24</v>
      </c>
      <c r="H5" s="367">
        <f>+G5/F5</f>
        <v>1.5</v>
      </c>
      <c r="I5" s="365">
        <f>SUM(I6:I8)</f>
        <v>16</v>
      </c>
      <c r="J5" s="331">
        <f>SUM(J6:J8)</f>
        <v>16</v>
      </c>
      <c r="K5" s="367">
        <f>+J5/I5</f>
        <v>1</v>
      </c>
      <c r="L5" s="365">
        <f>SUM(L6:L8)</f>
        <v>0</v>
      </c>
      <c r="M5" s="331">
        <f>SUM(M6:M8)</f>
        <v>0</v>
      </c>
      <c r="N5" s="367"/>
      <c r="O5" s="365">
        <f>SUM(O6:O8)</f>
        <v>16</v>
      </c>
      <c r="P5" s="331">
        <f>SUM(P6:P8)</f>
        <v>16</v>
      </c>
      <c r="Q5" s="367">
        <f>+P5/O5</f>
        <v>1</v>
      </c>
      <c r="R5" s="365">
        <f>SUM(R6:R8)</f>
        <v>36</v>
      </c>
      <c r="S5" s="331">
        <f>SUM(S6:S8)</f>
        <v>8</v>
      </c>
      <c r="T5" s="367">
        <f>+S5/R5</f>
        <v>0.222</v>
      </c>
      <c r="U5" s="365">
        <f>SUM(U6:U8)</f>
        <v>240</v>
      </c>
      <c r="V5" s="331">
        <f>SUM(V6:V8)</f>
        <v>236</v>
      </c>
      <c r="W5" s="367">
        <f>+V5/U5</f>
        <v>0.983</v>
      </c>
      <c r="X5" s="365">
        <f>SUM(X6:X8)</f>
        <v>0</v>
      </c>
      <c r="Y5" s="331">
        <f>SUM(Y6:Y8)</f>
        <v>0</v>
      </c>
      <c r="Z5" s="367"/>
      <c r="AA5" s="365">
        <f>SUM(AA6:AA8)</f>
        <v>56</v>
      </c>
      <c r="AB5" s="331">
        <f>SUM(AB6:AB8)</f>
        <v>47</v>
      </c>
      <c r="AC5" s="367">
        <f>+AB5/AA5</f>
        <v>0.839</v>
      </c>
      <c r="AD5" s="365">
        <f>SUM(AD6:AD8)</f>
        <v>240</v>
      </c>
      <c r="AE5" s="331">
        <f>SUM(AE6:AE8)</f>
        <v>260</v>
      </c>
      <c r="AF5" s="367">
        <f>+AE5/AD5</f>
        <v>1.083</v>
      </c>
      <c r="AG5" s="365">
        <f>SUM(AG6:AG8)</f>
        <v>200</v>
      </c>
      <c r="AH5" s="331">
        <f>SUM(AH6:AH8)</f>
        <v>189</v>
      </c>
      <c r="AI5" s="367">
        <f>+AH5/AG5</f>
        <v>0.945</v>
      </c>
      <c r="AJ5" s="365">
        <f>SUM(AJ6:AJ8)</f>
        <v>0</v>
      </c>
      <c r="AK5" s="331">
        <f>SUM(AK6:AK8)</f>
        <v>8</v>
      </c>
      <c r="AL5" s="367"/>
      <c r="AM5" s="365">
        <f>SUM(AM6:AM8)</f>
        <v>700</v>
      </c>
      <c r="AN5" s="331">
        <f>SUM(AN6:AN8)</f>
        <v>630</v>
      </c>
      <c r="AO5" s="367">
        <f>+AN5/AM5</f>
        <v>0.9</v>
      </c>
      <c r="AP5" s="365">
        <f>SUM(AP6:AP8)</f>
        <v>160</v>
      </c>
      <c r="AQ5" s="331">
        <f>SUM(AQ6:AQ8)</f>
        <v>296</v>
      </c>
      <c r="AR5" s="367">
        <f>+AQ5/AP5</f>
        <v>1.85</v>
      </c>
      <c r="AS5" s="365">
        <f>SUM(AS6:AS8)</f>
        <v>1680</v>
      </c>
      <c r="AT5" s="331">
        <f>SUM(AT6:AT8)</f>
        <v>1730</v>
      </c>
      <c r="AU5" s="367">
        <f>+AT5/AS5</f>
        <v>1.03</v>
      </c>
      <c r="AV5" s="356"/>
    </row>
    <row r="6" spans="1:48" ht="12.75">
      <c r="A6" s="440"/>
      <c r="B6" s="441" t="s">
        <v>40</v>
      </c>
      <c r="C6" s="338"/>
      <c r="D6" s="318"/>
      <c r="E6" s="326"/>
      <c r="F6" s="338">
        <v>16</v>
      </c>
      <c r="G6" s="318">
        <f>30/1.27</f>
        <v>24</v>
      </c>
      <c r="H6" s="326">
        <f>+G6/F6</f>
        <v>1.5</v>
      </c>
      <c r="I6" s="338">
        <f>16</f>
        <v>16</v>
      </c>
      <c r="J6" s="318">
        <f>20/1.27</f>
        <v>16</v>
      </c>
      <c r="K6" s="326">
        <f>+J6/I6</f>
        <v>1</v>
      </c>
      <c r="L6" s="338"/>
      <c r="M6" s="318"/>
      <c r="N6" s="326"/>
      <c r="O6" s="338">
        <v>16</v>
      </c>
      <c r="P6" s="318">
        <f>20/1.27</f>
        <v>16</v>
      </c>
      <c r="Q6" s="326">
        <f>+P6/O6</f>
        <v>1</v>
      </c>
      <c r="R6" s="338">
        <v>36</v>
      </c>
      <c r="S6" s="318">
        <f>10/1.27</f>
        <v>8</v>
      </c>
      <c r="T6" s="326">
        <f>+S6/R6</f>
        <v>0.222</v>
      </c>
      <c r="U6" s="338">
        <v>240</v>
      </c>
      <c r="V6" s="318">
        <f>300/1.27</f>
        <v>236</v>
      </c>
      <c r="W6" s="326">
        <f>+V6/U6</f>
        <v>0.983</v>
      </c>
      <c r="X6" s="338"/>
      <c r="Y6" s="318"/>
      <c r="Z6" s="326"/>
      <c r="AA6" s="338">
        <v>56</v>
      </c>
      <c r="AB6" s="318">
        <f>60/1.27</f>
        <v>47</v>
      </c>
      <c r="AC6" s="326">
        <f>+AB6/AA6</f>
        <v>0.839</v>
      </c>
      <c r="AD6" s="338">
        <v>240</v>
      </c>
      <c r="AE6" s="318">
        <f>330/1.27</f>
        <v>260</v>
      </c>
      <c r="AF6" s="326">
        <f>+AE6/AD6</f>
        <v>1.083</v>
      </c>
      <c r="AG6" s="338">
        <v>200</v>
      </c>
      <c r="AH6" s="318">
        <f>240/1.27</f>
        <v>189</v>
      </c>
      <c r="AI6" s="326">
        <f>+AH6/AG6</f>
        <v>0.945</v>
      </c>
      <c r="AJ6" s="338"/>
      <c r="AK6" s="318">
        <f>10/1.27</f>
        <v>8</v>
      </c>
      <c r="AL6" s="326"/>
      <c r="AM6" s="338">
        <v>700</v>
      </c>
      <c r="AN6" s="318">
        <f>800/1.27</f>
        <v>630</v>
      </c>
      <c r="AO6" s="326">
        <f>+AN6/AM6</f>
        <v>0.9</v>
      </c>
      <c r="AP6" s="338">
        <f>160</f>
        <v>160</v>
      </c>
      <c r="AQ6" s="318">
        <f>376/1.27</f>
        <v>296</v>
      </c>
      <c r="AR6" s="326">
        <f>+AQ6/AP6</f>
        <v>1.85</v>
      </c>
      <c r="AS6" s="323">
        <f>C6+F6+I6+L6+O6+R6+U6+X6+AA6+AD6+AG6+AJ6+AM6+AP6</f>
        <v>1680</v>
      </c>
      <c r="AT6" s="318">
        <f>D6+G6+J6+M6+P6+S6+V6+Y6+AB6+AE6+AH6+AK6+AN6+AQ6</f>
        <v>1730</v>
      </c>
      <c r="AU6" s="326">
        <f>+AT6/AS6</f>
        <v>1.03</v>
      </c>
      <c r="AV6" s="329"/>
    </row>
    <row r="7" spans="1:48" ht="12.75">
      <c r="A7" s="440"/>
      <c r="B7" s="441" t="s">
        <v>41</v>
      </c>
      <c r="C7" s="338"/>
      <c r="D7" s="318"/>
      <c r="E7" s="324"/>
      <c r="F7" s="338"/>
      <c r="G7" s="318"/>
      <c r="H7" s="324"/>
      <c r="I7" s="338"/>
      <c r="J7" s="318"/>
      <c r="K7" s="324"/>
      <c r="L7" s="338"/>
      <c r="M7" s="318"/>
      <c r="N7" s="324"/>
      <c r="O7" s="338"/>
      <c r="P7" s="318"/>
      <c r="Q7" s="324"/>
      <c r="R7" s="338"/>
      <c r="S7" s="318"/>
      <c r="T7" s="324"/>
      <c r="U7" s="338"/>
      <c r="V7" s="318"/>
      <c r="W7" s="324"/>
      <c r="X7" s="338"/>
      <c r="Y7" s="318"/>
      <c r="Z7" s="324"/>
      <c r="AA7" s="338"/>
      <c r="AB7" s="318"/>
      <c r="AC7" s="324"/>
      <c r="AD7" s="338"/>
      <c r="AE7" s="318"/>
      <c r="AF7" s="324"/>
      <c r="AG7" s="338"/>
      <c r="AH7" s="318"/>
      <c r="AI7" s="324"/>
      <c r="AJ7" s="338"/>
      <c r="AK7" s="318"/>
      <c r="AL7" s="324"/>
      <c r="AM7" s="338"/>
      <c r="AN7" s="318"/>
      <c r="AO7" s="324"/>
      <c r="AP7" s="338"/>
      <c r="AQ7" s="318"/>
      <c r="AR7" s="324"/>
      <c r="AS7" s="323">
        <f aca="true" t="shared" si="0" ref="AS7:AS19">C7+F7+I7+L7+O7+R7+U7+X7+AA7+AD7+AG7+AJ7+AM7+AP7</f>
        <v>0</v>
      </c>
      <c r="AT7" s="318">
        <f aca="true" t="shared" si="1" ref="AT7:AT19">D7+G7+J7+M7+P7+S7+V7+Y7+AB7+AE7+AH7+AK7+AN7+AQ7</f>
        <v>0</v>
      </c>
      <c r="AU7" s="326"/>
      <c r="AV7" s="329"/>
    </row>
    <row r="8" spans="1:48" ht="12.75">
      <c r="A8" s="440"/>
      <c r="B8" s="441" t="s">
        <v>42</v>
      </c>
      <c r="C8" s="338"/>
      <c r="D8" s="318"/>
      <c r="E8" s="324"/>
      <c r="F8" s="338"/>
      <c r="G8" s="318"/>
      <c r="H8" s="324"/>
      <c r="I8" s="338"/>
      <c r="J8" s="318"/>
      <c r="K8" s="324"/>
      <c r="L8" s="338"/>
      <c r="M8" s="318"/>
      <c r="N8" s="324"/>
      <c r="O8" s="338"/>
      <c r="P8" s="318"/>
      <c r="Q8" s="324"/>
      <c r="R8" s="338"/>
      <c r="S8" s="318"/>
      <c r="T8" s="324"/>
      <c r="U8" s="338"/>
      <c r="V8" s="318"/>
      <c r="W8" s="324"/>
      <c r="X8" s="338"/>
      <c r="Y8" s="318"/>
      <c r="Z8" s="324"/>
      <c r="AA8" s="338"/>
      <c r="AB8" s="318"/>
      <c r="AC8" s="324"/>
      <c r="AD8" s="338"/>
      <c r="AE8" s="318"/>
      <c r="AF8" s="324"/>
      <c r="AG8" s="338"/>
      <c r="AH8" s="318"/>
      <c r="AI8" s="324"/>
      <c r="AJ8" s="338"/>
      <c r="AK8" s="318"/>
      <c r="AL8" s="324"/>
      <c r="AM8" s="338"/>
      <c r="AN8" s="318"/>
      <c r="AO8" s="324"/>
      <c r="AP8" s="338"/>
      <c r="AQ8" s="318"/>
      <c r="AR8" s="324"/>
      <c r="AS8" s="323">
        <f t="shared" si="0"/>
        <v>0</v>
      </c>
      <c r="AT8" s="318">
        <f t="shared" si="1"/>
        <v>0</v>
      </c>
      <c r="AU8" s="326"/>
      <c r="AV8" s="329"/>
    </row>
    <row r="9" spans="1:48" ht="12.75">
      <c r="A9" s="440" t="s">
        <v>43</v>
      </c>
      <c r="B9" s="441" t="s">
        <v>44</v>
      </c>
      <c r="C9" s="337"/>
      <c r="D9" s="319"/>
      <c r="E9" s="324"/>
      <c r="F9" s="337"/>
      <c r="G9" s="319"/>
      <c r="H9" s="324"/>
      <c r="I9" s="337"/>
      <c r="J9" s="319"/>
      <c r="K9" s="324"/>
      <c r="L9" s="337"/>
      <c r="M9" s="319"/>
      <c r="N9" s="324"/>
      <c r="O9" s="337"/>
      <c r="P9" s="319"/>
      <c r="Q9" s="324"/>
      <c r="R9" s="337"/>
      <c r="S9" s="319"/>
      <c r="T9" s="324"/>
      <c r="U9" s="337"/>
      <c r="V9" s="319"/>
      <c r="W9" s="324"/>
      <c r="X9" s="337"/>
      <c r="Y9" s="319"/>
      <c r="Z9" s="324"/>
      <c r="AA9" s="337"/>
      <c r="AB9" s="319"/>
      <c r="AC9" s="324"/>
      <c r="AD9" s="337"/>
      <c r="AE9" s="319"/>
      <c r="AF9" s="324"/>
      <c r="AG9" s="337"/>
      <c r="AH9" s="319"/>
      <c r="AI9" s="324"/>
      <c r="AJ9" s="337"/>
      <c r="AK9" s="319"/>
      <c r="AL9" s="324"/>
      <c r="AM9" s="337"/>
      <c r="AN9" s="319"/>
      <c r="AO9" s="324"/>
      <c r="AP9" s="337"/>
      <c r="AQ9" s="319"/>
      <c r="AR9" s="324"/>
      <c r="AS9" s="323">
        <f t="shared" si="0"/>
        <v>0</v>
      </c>
      <c r="AT9" s="318">
        <f t="shared" si="1"/>
        <v>0</v>
      </c>
      <c r="AU9" s="326"/>
      <c r="AV9" s="329"/>
    </row>
    <row r="10" spans="1:48" ht="12.75">
      <c r="A10" s="440" t="s">
        <v>45</v>
      </c>
      <c r="B10" s="441" t="s">
        <v>46</v>
      </c>
      <c r="C10" s="337"/>
      <c r="D10" s="319"/>
      <c r="E10" s="324"/>
      <c r="F10" s="337"/>
      <c r="G10" s="319"/>
      <c r="H10" s="324"/>
      <c r="I10" s="337"/>
      <c r="J10" s="319"/>
      <c r="K10" s="324"/>
      <c r="L10" s="337"/>
      <c r="M10" s="319"/>
      <c r="N10" s="324"/>
      <c r="O10" s="337"/>
      <c r="P10" s="319"/>
      <c r="Q10" s="324"/>
      <c r="R10" s="337"/>
      <c r="S10" s="319"/>
      <c r="T10" s="324"/>
      <c r="U10" s="337"/>
      <c r="V10" s="319"/>
      <c r="W10" s="324"/>
      <c r="X10" s="337"/>
      <c r="Y10" s="319"/>
      <c r="Z10" s="324"/>
      <c r="AA10" s="337"/>
      <c r="AB10" s="319"/>
      <c r="AC10" s="324"/>
      <c r="AD10" s="337"/>
      <c r="AE10" s="319"/>
      <c r="AF10" s="324"/>
      <c r="AG10" s="337"/>
      <c r="AH10" s="319"/>
      <c r="AI10" s="324"/>
      <c r="AJ10" s="337"/>
      <c r="AK10" s="319"/>
      <c r="AL10" s="324"/>
      <c r="AM10" s="337"/>
      <c r="AN10" s="319"/>
      <c r="AO10" s="324"/>
      <c r="AP10" s="337"/>
      <c r="AQ10" s="319"/>
      <c r="AR10" s="324"/>
      <c r="AS10" s="323">
        <f t="shared" si="0"/>
        <v>0</v>
      </c>
      <c r="AT10" s="318">
        <f t="shared" si="1"/>
        <v>0</v>
      </c>
      <c r="AU10" s="326"/>
      <c r="AV10" s="329"/>
    </row>
    <row r="11" spans="1:48" ht="12.75">
      <c r="A11" s="440" t="s">
        <v>47</v>
      </c>
      <c r="B11" s="441" t="s">
        <v>48</v>
      </c>
      <c r="C11" s="337"/>
      <c r="D11" s="319"/>
      <c r="E11" s="324"/>
      <c r="F11" s="337"/>
      <c r="G11" s="319"/>
      <c r="H11" s="324"/>
      <c r="I11" s="337"/>
      <c r="J11" s="319"/>
      <c r="K11" s="324"/>
      <c r="L11" s="337"/>
      <c r="M11" s="319"/>
      <c r="N11" s="324"/>
      <c r="O11" s="337"/>
      <c r="P11" s="319"/>
      <c r="Q11" s="324"/>
      <c r="R11" s="337"/>
      <c r="S11" s="319"/>
      <c r="T11" s="324"/>
      <c r="U11" s="337"/>
      <c r="V11" s="319"/>
      <c r="W11" s="324"/>
      <c r="X11" s="337"/>
      <c r="Y11" s="319"/>
      <c r="Z11" s="324"/>
      <c r="AA11" s="337"/>
      <c r="AB11" s="319"/>
      <c r="AC11" s="324"/>
      <c r="AD11" s="337"/>
      <c r="AE11" s="319"/>
      <c r="AF11" s="324"/>
      <c r="AG11" s="337"/>
      <c r="AH11" s="319"/>
      <c r="AI11" s="324"/>
      <c r="AJ11" s="337"/>
      <c r="AK11" s="319"/>
      <c r="AL11" s="324"/>
      <c r="AM11" s="337"/>
      <c r="AN11" s="319"/>
      <c r="AO11" s="324"/>
      <c r="AP11" s="337"/>
      <c r="AQ11" s="319"/>
      <c r="AR11" s="324"/>
      <c r="AS11" s="323">
        <f t="shared" si="0"/>
        <v>0</v>
      </c>
      <c r="AT11" s="318">
        <f t="shared" si="1"/>
        <v>0</v>
      </c>
      <c r="AU11" s="326"/>
      <c r="AV11" s="329"/>
    </row>
    <row r="12" spans="1:48" ht="12.75">
      <c r="A12" s="440" t="s">
        <v>36</v>
      </c>
      <c r="B12" s="441" t="s">
        <v>49</v>
      </c>
      <c r="C12" s="338"/>
      <c r="D12" s="318"/>
      <c r="E12" s="326"/>
      <c r="F12" s="338">
        <v>4</v>
      </c>
      <c r="G12" s="318">
        <f>G6*0.27</f>
        <v>6</v>
      </c>
      <c r="H12" s="326">
        <f>+G12/F12</f>
        <v>1.5</v>
      </c>
      <c r="I12" s="338">
        <f>4</f>
        <v>4</v>
      </c>
      <c r="J12" s="318">
        <f>J6*0.27</f>
        <v>4</v>
      </c>
      <c r="K12" s="326">
        <f>+J12/I12</f>
        <v>1</v>
      </c>
      <c r="L12" s="338"/>
      <c r="M12" s="318"/>
      <c r="N12" s="326"/>
      <c r="O12" s="338">
        <v>4</v>
      </c>
      <c r="P12" s="318">
        <f>P6*0.27</f>
        <v>4</v>
      </c>
      <c r="Q12" s="326">
        <f>+P12/O12</f>
        <v>1</v>
      </c>
      <c r="R12" s="338">
        <v>9</v>
      </c>
      <c r="S12" s="318">
        <f>S6*0.27</f>
        <v>2</v>
      </c>
      <c r="T12" s="326">
        <f>+S12/R12</f>
        <v>0.222</v>
      </c>
      <c r="U12" s="338">
        <v>60</v>
      </c>
      <c r="V12" s="318">
        <f>V6*0.27</f>
        <v>64</v>
      </c>
      <c r="W12" s="326">
        <f>+V12/U12</f>
        <v>1.067</v>
      </c>
      <c r="X12" s="338"/>
      <c r="Y12" s="318"/>
      <c r="Z12" s="326"/>
      <c r="AA12" s="338">
        <v>14</v>
      </c>
      <c r="AB12" s="318">
        <f>AB6*0.27</f>
        <v>13</v>
      </c>
      <c r="AC12" s="326">
        <f>+AB12/AA12</f>
        <v>0.929</v>
      </c>
      <c r="AD12" s="338">
        <v>60</v>
      </c>
      <c r="AE12" s="318">
        <f>AE6*0.27</f>
        <v>70</v>
      </c>
      <c r="AF12" s="326">
        <f>+AE12/AD12</f>
        <v>1.167</v>
      </c>
      <c r="AG12" s="338">
        <v>60</v>
      </c>
      <c r="AH12" s="318">
        <f>AH6*0.27</f>
        <v>51</v>
      </c>
      <c r="AI12" s="326">
        <f>+AH12/AG12</f>
        <v>0.85</v>
      </c>
      <c r="AJ12" s="338"/>
      <c r="AK12" s="318">
        <f>AK6*0.27</f>
        <v>2</v>
      </c>
      <c r="AL12" s="326"/>
      <c r="AM12" s="338">
        <v>175</v>
      </c>
      <c r="AN12" s="318">
        <f>AN6*0.27</f>
        <v>170</v>
      </c>
      <c r="AO12" s="326">
        <f>+AN12/AM12</f>
        <v>0.971</v>
      </c>
      <c r="AP12" s="338">
        <v>40</v>
      </c>
      <c r="AQ12" s="318">
        <f>AQ6*0.27</f>
        <v>80</v>
      </c>
      <c r="AR12" s="326">
        <f>+AQ12/AP12</f>
        <v>2</v>
      </c>
      <c r="AS12" s="323">
        <f t="shared" si="0"/>
        <v>430</v>
      </c>
      <c r="AT12" s="318">
        <f t="shared" si="1"/>
        <v>466</v>
      </c>
      <c r="AU12" s="326">
        <f>+AT12/AS12</f>
        <v>1.084</v>
      </c>
      <c r="AV12" s="329"/>
    </row>
    <row r="13" spans="1:48" ht="12.75">
      <c r="A13" s="440" t="s">
        <v>50</v>
      </c>
      <c r="B13" s="441" t="s">
        <v>51</v>
      </c>
      <c r="C13" s="337"/>
      <c r="D13" s="319"/>
      <c r="E13" s="324"/>
      <c r="F13" s="337"/>
      <c r="G13" s="319"/>
      <c r="H13" s="324"/>
      <c r="I13" s="337"/>
      <c r="J13" s="319"/>
      <c r="K13" s="326"/>
      <c r="L13" s="337"/>
      <c r="M13" s="319"/>
      <c r="N13" s="324"/>
      <c r="O13" s="337"/>
      <c r="P13" s="319"/>
      <c r="Q13" s="324"/>
      <c r="R13" s="337"/>
      <c r="S13" s="319"/>
      <c r="T13" s="326"/>
      <c r="U13" s="337"/>
      <c r="V13" s="319"/>
      <c r="W13" s="326"/>
      <c r="X13" s="337"/>
      <c r="Y13" s="319"/>
      <c r="Z13" s="324"/>
      <c r="AA13" s="337"/>
      <c r="AB13" s="319"/>
      <c r="AC13" s="326"/>
      <c r="AD13" s="337"/>
      <c r="AE13" s="319"/>
      <c r="AF13" s="326"/>
      <c r="AG13" s="337"/>
      <c r="AH13" s="319"/>
      <c r="AI13" s="326"/>
      <c r="AJ13" s="337"/>
      <c r="AK13" s="319"/>
      <c r="AL13" s="324"/>
      <c r="AM13" s="337"/>
      <c r="AN13" s="319"/>
      <c r="AO13" s="326"/>
      <c r="AP13" s="337"/>
      <c r="AQ13" s="319"/>
      <c r="AR13" s="326"/>
      <c r="AS13" s="323">
        <f t="shared" si="0"/>
        <v>0</v>
      </c>
      <c r="AT13" s="318">
        <f t="shared" si="1"/>
        <v>0</v>
      </c>
      <c r="AU13" s="326"/>
      <c r="AV13" s="329"/>
    </row>
    <row r="14" spans="1:48" ht="12.75">
      <c r="A14" s="440" t="s">
        <v>52</v>
      </c>
      <c r="B14" s="442" t="s">
        <v>320</v>
      </c>
      <c r="C14" s="338"/>
      <c r="D14" s="318"/>
      <c r="E14" s="326"/>
      <c r="F14" s="338"/>
      <c r="G14" s="318"/>
      <c r="H14" s="326"/>
      <c r="I14" s="338"/>
      <c r="J14" s="318"/>
      <c r="K14" s="326"/>
      <c r="L14" s="338"/>
      <c r="M14" s="318"/>
      <c r="N14" s="326"/>
      <c r="O14" s="338"/>
      <c r="P14" s="318"/>
      <c r="Q14" s="326"/>
      <c r="R14" s="338"/>
      <c r="S14" s="318"/>
      <c r="T14" s="326"/>
      <c r="U14" s="338"/>
      <c r="V14" s="318"/>
      <c r="W14" s="326"/>
      <c r="X14" s="338"/>
      <c r="Y14" s="318"/>
      <c r="Z14" s="326"/>
      <c r="AA14" s="338"/>
      <c r="AB14" s="318"/>
      <c r="AC14" s="326"/>
      <c r="AD14" s="338"/>
      <c r="AE14" s="318"/>
      <c r="AF14" s="326"/>
      <c r="AG14" s="338"/>
      <c r="AH14" s="318"/>
      <c r="AI14" s="326"/>
      <c r="AJ14" s="338"/>
      <c r="AK14" s="318"/>
      <c r="AL14" s="326"/>
      <c r="AM14" s="338"/>
      <c r="AN14" s="318"/>
      <c r="AO14" s="326"/>
      <c r="AP14" s="338"/>
      <c r="AQ14" s="318"/>
      <c r="AR14" s="326"/>
      <c r="AS14" s="323">
        <f t="shared" si="0"/>
        <v>0</v>
      </c>
      <c r="AT14" s="318">
        <f t="shared" si="1"/>
        <v>0</v>
      </c>
      <c r="AU14" s="326"/>
      <c r="AV14" s="329"/>
    </row>
    <row r="15" spans="1:48" ht="12.75">
      <c r="A15" s="440" t="s">
        <v>54</v>
      </c>
      <c r="B15" s="441" t="s">
        <v>321</v>
      </c>
      <c r="C15" s="338">
        <f>C34-C5-C9-C10-C11-C12-C13-C14-C16-C17-C18-C19</f>
        <v>68296</v>
      </c>
      <c r="D15" s="338">
        <f>D34-D5-D9-D10-D11-D12-D13-D14-D16-D17-D18-D19</f>
        <v>70059</v>
      </c>
      <c r="E15" s="326">
        <f>+D15/C15</f>
        <v>1.026</v>
      </c>
      <c r="F15" s="338">
        <f>F34-F5-F9-F10-F11-F12-F13-F14-F16-F17-F18-F19</f>
        <v>71538</v>
      </c>
      <c r="G15" s="338">
        <f>G34-G5-G9-G10-G11-G12-G13-G14-G16-G17-G18-G19</f>
        <v>71097</v>
      </c>
      <c r="H15" s="326">
        <f>+G15/F15</f>
        <v>0.994</v>
      </c>
      <c r="I15" s="338">
        <f>I34-I5-I9-I10-I11-I12-I13-I14-I16-I17-I18-I19</f>
        <v>76829</v>
      </c>
      <c r="J15" s="338">
        <f>J34-J5-J9-J10-J11-J12-J13-J14-J16-J17-J18-J19</f>
        <v>82727</v>
      </c>
      <c r="K15" s="326">
        <f>+J15/I15</f>
        <v>1.077</v>
      </c>
      <c r="L15" s="338">
        <f>L34-L5-L9-L10-L11-L12-L13-L14-L16-L17-L18-L19</f>
        <v>25788</v>
      </c>
      <c r="M15" s="338">
        <f>M34-M5-M9-M10-M11-M12-M13-M14-M16-M17-M18-M19</f>
        <v>27665</v>
      </c>
      <c r="N15" s="326">
        <f>+M15/L15</f>
        <v>1.073</v>
      </c>
      <c r="O15" s="338">
        <f>O34-O5-O9-O10-O11-O12-O13-O14-O16-O17-O18-O19</f>
        <v>80582</v>
      </c>
      <c r="P15" s="338">
        <f>P34-P5-P9-P10-P11-P12-P13-P14-P16-P17-P18-P19</f>
        <v>86537</v>
      </c>
      <c r="Q15" s="326">
        <f>+P15/O15</f>
        <v>1.074</v>
      </c>
      <c r="R15" s="338">
        <f>R34-R5-R9-R10-R11-R12-R13-R14-R16-R17-R18-R19</f>
        <v>68638</v>
      </c>
      <c r="S15" s="338">
        <f>S34-S5-S9-S10-S11-S12-S13-S14-S16-S17-S18-S19</f>
        <v>69820</v>
      </c>
      <c r="T15" s="326">
        <f>+S15/R15</f>
        <v>1.017</v>
      </c>
      <c r="U15" s="338">
        <f>U34-U5-U9-U10-U11-U12-U13-U14-U16-U17-U18-U19</f>
        <v>64738</v>
      </c>
      <c r="V15" s="338">
        <f>V34-V5-V9-V10-V11-V12-V13-V14-V16-V17-V18-V19</f>
        <v>67658</v>
      </c>
      <c r="W15" s="326">
        <f>+V15/U15</f>
        <v>1.045</v>
      </c>
      <c r="X15" s="338">
        <f>X34-X5-X9-X10-X11-X12-X13-X14-X16-X17-X18-X19</f>
        <v>110183</v>
      </c>
      <c r="Y15" s="338">
        <f>Y34-Y5-Y9-Y10-Y11-Y12-Y13-Y14-Y16-Y17-Y18-Y19</f>
        <v>109654</v>
      </c>
      <c r="Z15" s="326">
        <f>+Y15/X15</f>
        <v>0.995</v>
      </c>
      <c r="AA15" s="338">
        <f>AA34-AA5-AA9-AA10-AA11-AA12-AA13-AA14-AA16-AA17-AA18-AA19</f>
        <v>78363</v>
      </c>
      <c r="AB15" s="338">
        <f>AB34-AB5-AB9-AB10-AB11-AB12-AB13-AB14-AB16-AB17-AB18-AB19</f>
        <v>68905</v>
      </c>
      <c r="AC15" s="326">
        <f>+AB15/AA15</f>
        <v>0.879</v>
      </c>
      <c r="AD15" s="338">
        <f>AD34-AD5-AD9-AD10-AD11-AD12-AD13-AD14-AD16-AD17-AD18-AD19</f>
        <v>69246</v>
      </c>
      <c r="AE15" s="338">
        <f>AE34-AE5-AE9-AE10-AE11-AE12-AE13-AE14-AE16-AE17-AE18-AE19</f>
        <v>69575</v>
      </c>
      <c r="AF15" s="326">
        <f>+AE15/AD15</f>
        <v>1.005</v>
      </c>
      <c r="AG15" s="338">
        <f>AG34-AG5-AG9-AG10-AG11-AG12-AG13-AG14-AG16-AG17-AG18-AG19</f>
        <v>104277</v>
      </c>
      <c r="AH15" s="338">
        <f>AH34-AH5-AH9-AH10-AH11-AH12-AH13-AH14-AH16-AH17-AH18-AH19</f>
        <v>107880</v>
      </c>
      <c r="AI15" s="326">
        <f>+AH15/AG15</f>
        <v>1.035</v>
      </c>
      <c r="AJ15" s="338">
        <f>AJ34-AJ5-AJ9-AJ10-AJ11-AJ12-AJ13-AJ14-AJ16-AJ17-AJ18-AJ19</f>
        <v>63160</v>
      </c>
      <c r="AK15" s="338">
        <f>AK34-AK5-AK9-AK10-AK11-AK12-AK13-AK14-AK16-AK17-AK18-AK19</f>
        <v>65902</v>
      </c>
      <c r="AL15" s="326">
        <f>+AK15/AJ15</f>
        <v>1.043</v>
      </c>
      <c r="AM15" s="338">
        <f>AM34-AM5-AM9-AM10-AM11-AM12-AM13-AM14-AM16-AM17-AM18-AM19</f>
        <v>64737</v>
      </c>
      <c r="AN15" s="338">
        <f>AN34-AN5-AN9-AN10-AN11-AN12-AN13-AN14-AN16-AN17-AN18-AN19</f>
        <v>71291</v>
      </c>
      <c r="AO15" s="326">
        <f>+AN15/AM15</f>
        <v>1.101</v>
      </c>
      <c r="AP15" s="338">
        <f>AP34-AP5-AP9-AP10-AP11-AP12-AP13-AP14-AP16-AP17-AP18-AP19</f>
        <v>125011</v>
      </c>
      <c r="AQ15" s="338">
        <f>AQ34-AQ5-AQ9-AQ10-AQ11-AQ12-AQ13-AQ14-AQ16-AQ17-AQ18-AQ19</f>
        <v>126735</v>
      </c>
      <c r="AR15" s="326">
        <f>+AQ15/AP15</f>
        <v>1.014</v>
      </c>
      <c r="AS15" s="323">
        <f t="shared" si="0"/>
        <v>1071386</v>
      </c>
      <c r="AT15" s="318">
        <f t="shared" si="1"/>
        <v>1095505</v>
      </c>
      <c r="AU15" s="326">
        <f>+AT15/AS15</f>
        <v>1.023</v>
      </c>
      <c r="AV15" s="329"/>
    </row>
    <row r="16" spans="1:48" ht="12.75">
      <c r="A16" s="440" t="s">
        <v>55</v>
      </c>
      <c r="B16" s="442" t="s">
        <v>53</v>
      </c>
      <c r="C16" s="337"/>
      <c r="D16" s="319"/>
      <c r="E16" s="324"/>
      <c r="F16" s="337"/>
      <c r="G16" s="319"/>
      <c r="H16" s="324"/>
      <c r="I16" s="337"/>
      <c r="J16" s="319"/>
      <c r="K16" s="324"/>
      <c r="L16" s="337"/>
      <c r="M16" s="319"/>
      <c r="N16" s="324"/>
      <c r="O16" s="337"/>
      <c r="P16" s="319"/>
      <c r="Q16" s="324"/>
      <c r="R16" s="337"/>
      <c r="S16" s="319"/>
      <c r="T16" s="324"/>
      <c r="U16" s="337"/>
      <c r="V16" s="319"/>
      <c r="W16" s="324"/>
      <c r="X16" s="337"/>
      <c r="Y16" s="319"/>
      <c r="Z16" s="324"/>
      <c r="AA16" s="337"/>
      <c r="AB16" s="319"/>
      <c r="AC16" s="324"/>
      <c r="AD16" s="337"/>
      <c r="AE16" s="319"/>
      <c r="AF16" s="324"/>
      <c r="AG16" s="337"/>
      <c r="AH16" s="319"/>
      <c r="AI16" s="324"/>
      <c r="AJ16" s="337"/>
      <c r="AK16" s="319"/>
      <c r="AL16" s="324"/>
      <c r="AM16" s="337"/>
      <c r="AN16" s="319"/>
      <c r="AO16" s="324"/>
      <c r="AP16" s="337"/>
      <c r="AQ16" s="319"/>
      <c r="AR16" s="324"/>
      <c r="AS16" s="323">
        <f t="shared" si="0"/>
        <v>0</v>
      </c>
      <c r="AT16" s="318">
        <f t="shared" si="1"/>
        <v>0</v>
      </c>
      <c r="AU16" s="326"/>
      <c r="AV16" s="329"/>
    </row>
    <row r="17" spans="1:48" s="87" customFormat="1" ht="12.75">
      <c r="A17" s="440" t="s">
        <v>57</v>
      </c>
      <c r="B17" s="441" t="s">
        <v>322</v>
      </c>
      <c r="C17" s="337"/>
      <c r="D17" s="319"/>
      <c r="E17" s="324"/>
      <c r="F17" s="337"/>
      <c r="G17" s="319"/>
      <c r="H17" s="324"/>
      <c r="I17" s="337"/>
      <c r="J17" s="319"/>
      <c r="K17" s="324"/>
      <c r="L17" s="337"/>
      <c r="M17" s="319"/>
      <c r="N17" s="324"/>
      <c r="O17" s="337"/>
      <c r="P17" s="319"/>
      <c r="Q17" s="324"/>
      <c r="R17" s="337"/>
      <c r="S17" s="319"/>
      <c r="T17" s="324"/>
      <c r="U17" s="337"/>
      <c r="V17" s="319"/>
      <c r="W17" s="324"/>
      <c r="X17" s="337"/>
      <c r="Y17" s="319"/>
      <c r="Z17" s="324"/>
      <c r="AA17" s="337"/>
      <c r="AB17" s="319"/>
      <c r="AC17" s="324"/>
      <c r="AD17" s="337"/>
      <c r="AE17" s="319"/>
      <c r="AF17" s="324"/>
      <c r="AG17" s="337"/>
      <c r="AH17" s="319"/>
      <c r="AI17" s="324"/>
      <c r="AJ17" s="337"/>
      <c r="AK17" s="319"/>
      <c r="AL17" s="324"/>
      <c r="AM17" s="337"/>
      <c r="AN17" s="319"/>
      <c r="AO17" s="324"/>
      <c r="AP17" s="337"/>
      <c r="AQ17" s="319"/>
      <c r="AR17" s="324"/>
      <c r="AS17" s="323">
        <f t="shared" si="0"/>
        <v>0</v>
      </c>
      <c r="AT17" s="318">
        <f t="shared" si="1"/>
        <v>0</v>
      </c>
      <c r="AU17" s="324"/>
      <c r="AV17" s="356"/>
    </row>
    <row r="18" spans="1:48" ht="12.75">
      <c r="A18" s="440" t="s">
        <v>59</v>
      </c>
      <c r="B18" s="441" t="s">
        <v>56</v>
      </c>
      <c r="C18" s="338"/>
      <c r="D18" s="318"/>
      <c r="E18" s="324"/>
      <c r="F18" s="338"/>
      <c r="G18" s="318"/>
      <c r="H18" s="324"/>
      <c r="I18" s="338"/>
      <c r="J18" s="318"/>
      <c r="K18" s="324"/>
      <c r="L18" s="338"/>
      <c r="M18" s="318"/>
      <c r="N18" s="324"/>
      <c r="O18" s="338"/>
      <c r="P18" s="318"/>
      <c r="Q18" s="324"/>
      <c r="R18" s="338"/>
      <c r="S18" s="318"/>
      <c r="T18" s="324"/>
      <c r="U18" s="338"/>
      <c r="V18" s="318"/>
      <c r="W18" s="324"/>
      <c r="X18" s="338"/>
      <c r="Y18" s="318"/>
      <c r="Z18" s="324"/>
      <c r="AA18" s="338"/>
      <c r="AB18" s="318"/>
      <c r="AC18" s="324"/>
      <c r="AD18" s="338"/>
      <c r="AE18" s="318"/>
      <c r="AF18" s="324"/>
      <c r="AG18" s="338"/>
      <c r="AH18" s="318"/>
      <c r="AI18" s="324"/>
      <c r="AJ18" s="338"/>
      <c r="AK18" s="318"/>
      <c r="AL18" s="324"/>
      <c r="AM18" s="338"/>
      <c r="AN18" s="318"/>
      <c r="AO18" s="324"/>
      <c r="AP18" s="338"/>
      <c r="AQ18" s="318"/>
      <c r="AR18" s="324"/>
      <c r="AS18" s="323">
        <f t="shared" si="0"/>
        <v>0</v>
      </c>
      <c r="AT18" s="318">
        <f t="shared" si="1"/>
        <v>0</v>
      </c>
      <c r="AU18" s="326"/>
      <c r="AV18" s="329"/>
    </row>
    <row r="19" spans="1:49" s="87" customFormat="1" ht="13.5" thickBot="1">
      <c r="A19" s="443" t="s">
        <v>61</v>
      </c>
      <c r="B19" s="445" t="s">
        <v>295</v>
      </c>
      <c r="C19" s="339"/>
      <c r="D19" s="333"/>
      <c r="E19" s="348"/>
      <c r="F19" s="339"/>
      <c r="G19" s="333"/>
      <c r="H19" s="348"/>
      <c r="I19" s="339"/>
      <c r="J19" s="333"/>
      <c r="K19" s="348"/>
      <c r="L19" s="339"/>
      <c r="M19" s="333"/>
      <c r="N19" s="348"/>
      <c r="O19" s="339"/>
      <c r="P19" s="333"/>
      <c r="Q19" s="348"/>
      <c r="R19" s="339"/>
      <c r="S19" s="333"/>
      <c r="T19" s="348"/>
      <c r="U19" s="339"/>
      <c r="V19" s="333"/>
      <c r="W19" s="348"/>
      <c r="X19" s="339"/>
      <c r="Y19" s="333"/>
      <c r="Z19" s="348"/>
      <c r="AA19" s="339"/>
      <c r="AB19" s="333"/>
      <c r="AC19" s="348"/>
      <c r="AD19" s="339"/>
      <c r="AE19" s="333"/>
      <c r="AF19" s="348"/>
      <c r="AG19" s="339"/>
      <c r="AH19" s="333"/>
      <c r="AI19" s="348"/>
      <c r="AJ19" s="339"/>
      <c r="AK19" s="333"/>
      <c r="AL19" s="348"/>
      <c r="AM19" s="339"/>
      <c r="AN19" s="333"/>
      <c r="AO19" s="348"/>
      <c r="AP19" s="339"/>
      <c r="AQ19" s="333"/>
      <c r="AR19" s="348"/>
      <c r="AS19" s="323">
        <f t="shared" si="0"/>
        <v>0</v>
      </c>
      <c r="AT19" s="318">
        <f t="shared" si="1"/>
        <v>0</v>
      </c>
      <c r="AU19" s="348"/>
      <c r="AV19" s="356"/>
      <c r="AW19" s="176"/>
    </row>
    <row r="20" spans="1:49" s="87" customFormat="1" ht="14.25" thickBot="1" thickTop="1">
      <c r="A20" s="626" t="s">
        <v>63</v>
      </c>
      <c r="B20" s="83" t="s">
        <v>323</v>
      </c>
      <c r="C20" s="340">
        <f>SUM(C5,C9:C19)</f>
        <v>68296</v>
      </c>
      <c r="D20" s="340">
        <f>SUM(D5,D9:D19)</f>
        <v>70059</v>
      </c>
      <c r="E20" s="358">
        <f>+D20/C20</f>
        <v>1.026</v>
      </c>
      <c r="F20" s="340">
        <f>SUM(F5,F9:F19)</f>
        <v>71558</v>
      </c>
      <c r="G20" s="340">
        <f>SUM(G5,G9:G19)</f>
        <v>71127</v>
      </c>
      <c r="H20" s="358">
        <f>+G20/F20</f>
        <v>0.994</v>
      </c>
      <c r="I20" s="340">
        <f>SUM(I5,I9:I19)</f>
        <v>76849</v>
      </c>
      <c r="J20" s="340">
        <f>SUM(J5,J9:J19)</f>
        <v>82747</v>
      </c>
      <c r="K20" s="358">
        <f>+J20/I20</f>
        <v>1.077</v>
      </c>
      <c r="L20" s="340">
        <f>SUM(L5,L9:L19)</f>
        <v>25788</v>
      </c>
      <c r="M20" s="340">
        <f>SUM(M5,M9:M19)</f>
        <v>27665</v>
      </c>
      <c r="N20" s="358">
        <f>+M20/L20</f>
        <v>1.073</v>
      </c>
      <c r="O20" s="340">
        <f>SUM(O5,O9:O19)</f>
        <v>80602</v>
      </c>
      <c r="P20" s="340">
        <f>SUM(P5,P9:P19)</f>
        <v>86557</v>
      </c>
      <c r="Q20" s="358">
        <f>+P20/O20</f>
        <v>1.074</v>
      </c>
      <c r="R20" s="340">
        <f>SUM(R5,R9:R19)</f>
        <v>68683</v>
      </c>
      <c r="S20" s="340">
        <f>SUM(S5,S9:S19)</f>
        <v>69830</v>
      </c>
      <c r="T20" s="358">
        <f>+S20/R20</f>
        <v>1.017</v>
      </c>
      <c r="U20" s="340">
        <f>SUM(U5,U9:U19)</f>
        <v>65038</v>
      </c>
      <c r="V20" s="340">
        <f>SUM(V5,V9:V19)</f>
        <v>67958</v>
      </c>
      <c r="W20" s="358">
        <f>+V20/U20</f>
        <v>1.045</v>
      </c>
      <c r="X20" s="340">
        <f>SUM(X5,X9:X19)</f>
        <v>110183</v>
      </c>
      <c r="Y20" s="340">
        <f>SUM(Y5,Y9:Y19)</f>
        <v>109654</v>
      </c>
      <c r="Z20" s="358">
        <f>+Y20/X20</f>
        <v>0.995</v>
      </c>
      <c r="AA20" s="340">
        <f>SUM(AA5,AA9:AA19)</f>
        <v>78433</v>
      </c>
      <c r="AB20" s="340">
        <f>SUM(AB5,AB9:AB19)</f>
        <v>68965</v>
      </c>
      <c r="AC20" s="358">
        <f>+AB20/AA20</f>
        <v>0.879</v>
      </c>
      <c r="AD20" s="340">
        <f>SUM(AD5,AD9:AD19)</f>
        <v>69546</v>
      </c>
      <c r="AE20" s="340">
        <f>SUM(AE5,AE9:AE19)</f>
        <v>69905</v>
      </c>
      <c r="AF20" s="358">
        <f>+AE20/AD20</f>
        <v>1.005</v>
      </c>
      <c r="AG20" s="340">
        <f>SUM(AG5,AG9:AG19)</f>
        <v>104537</v>
      </c>
      <c r="AH20" s="340">
        <f>SUM(AH5,AH9:AH19)</f>
        <v>108120</v>
      </c>
      <c r="AI20" s="358">
        <f>+AH20/AG20</f>
        <v>1.034</v>
      </c>
      <c r="AJ20" s="340">
        <f>SUM(AJ5,AJ9:AJ19)</f>
        <v>63160</v>
      </c>
      <c r="AK20" s="340">
        <f>SUM(AK5,AK9:AK19)</f>
        <v>65912</v>
      </c>
      <c r="AL20" s="358">
        <f>+AK20/AJ20</f>
        <v>1.044</v>
      </c>
      <c r="AM20" s="340">
        <f>SUM(AM5,AM9:AM19)</f>
        <v>65612</v>
      </c>
      <c r="AN20" s="340">
        <f>SUM(AN5,AN9:AN19)</f>
        <v>72091</v>
      </c>
      <c r="AO20" s="358">
        <f>+AN20/AM20</f>
        <v>1.099</v>
      </c>
      <c r="AP20" s="340">
        <f>SUM(AP5,AP9:AP19)</f>
        <v>125211</v>
      </c>
      <c r="AQ20" s="340">
        <f>SUM(AQ5,AQ9:AQ19)</f>
        <v>127111</v>
      </c>
      <c r="AR20" s="358">
        <f>+AQ20/AP20</f>
        <v>1.015</v>
      </c>
      <c r="AS20" s="350">
        <f>C20+F20+I20+L20+O20+R20+U20+X20+AA20+AD20+AG20+AJ20+AM20+AP20</f>
        <v>1073496</v>
      </c>
      <c r="AT20" s="453">
        <f>D20+G20+J20+M20+P20+S20+V20+Y20+AB20+AE20+AH20+AK20+AN20+AQ20</f>
        <v>1097701</v>
      </c>
      <c r="AU20" s="358">
        <f>+AT20/AS20</f>
        <v>1.023</v>
      </c>
      <c r="AV20" s="356"/>
      <c r="AW20" s="90"/>
    </row>
    <row r="21" spans="1:49" ht="12.75">
      <c r="A21" s="513" t="s">
        <v>58</v>
      </c>
      <c r="B21" s="514"/>
      <c r="C21" s="515"/>
      <c r="D21" s="516"/>
      <c r="E21" s="517"/>
      <c r="F21" s="515"/>
      <c r="G21" s="516"/>
      <c r="H21" s="517"/>
      <c r="I21" s="515"/>
      <c r="J21" s="516"/>
      <c r="K21" s="517"/>
      <c r="L21" s="515"/>
      <c r="M21" s="516"/>
      <c r="N21" s="517"/>
      <c r="O21" s="515"/>
      <c r="P21" s="516"/>
      <c r="Q21" s="517"/>
      <c r="R21" s="515"/>
      <c r="S21" s="516"/>
      <c r="T21" s="517"/>
      <c r="U21" s="515"/>
      <c r="V21" s="516"/>
      <c r="W21" s="517"/>
      <c r="X21" s="515"/>
      <c r="Y21" s="516"/>
      <c r="Z21" s="517"/>
      <c r="AA21" s="515"/>
      <c r="AB21" s="516"/>
      <c r="AC21" s="517"/>
      <c r="AD21" s="515"/>
      <c r="AE21" s="516"/>
      <c r="AF21" s="517"/>
      <c r="AG21" s="515"/>
      <c r="AH21" s="516"/>
      <c r="AI21" s="517"/>
      <c r="AJ21" s="515"/>
      <c r="AK21" s="516"/>
      <c r="AL21" s="517"/>
      <c r="AM21" s="515"/>
      <c r="AN21" s="516"/>
      <c r="AO21" s="517"/>
      <c r="AP21" s="515"/>
      <c r="AQ21" s="516"/>
      <c r="AR21" s="517"/>
      <c r="AS21" s="518"/>
      <c r="AT21" s="516"/>
      <c r="AU21" s="517"/>
      <c r="AV21" s="329"/>
      <c r="AW21" s="79"/>
    </row>
    <row r="22" spans="1:49" s="87" customFormat="1" ht="12.75">
      <c r="A22" s="438" t="s">
        <v>64</v>
      </c>
      <c r="B22" s="439" t="s">
        <v>60</v>
      </c>
      <c r="C22" s="519">
        <f>SUM(C23:C28)</f>
        <v>68296</v>
      </c>
      <c r="D22" s="519">
        <f>SUM(D23:D28)</f>
        <v>70059</v>
      </c>
      <c r="E22" s="367">
        <f>+D22/C22</f>
        <v>1.026</v>
      </c>
      <c r="F22" s="519">
        <f>SUM(F23:F28)</f>
        <v>71558</v>
      </c>
      <c r="G22" s="519">
        <f>SUM(G23:G28)</f>
        <v>71127</v>
      </c>
      <c r="H22" s="367">
        <f>+G22/F22</f>
        <v>0.994</v>
      </c>
      <c r="I22" s="519">
        <f>SUM(I23:I28)</f>
        <v>76849</v>
      </c>
      <c r="J22" s="519">
        <f>SUM(J23:J28)</f>
        <v>82747</v>
      </c>
      <c r="K22" s="367">
        <f>+J22/I22</f>
        <v>1.077</v>
      </c>
      <c r="L22" s="519">
        <f>SUM(L23:L28)</f>
        <v>25788</v>
      </c>
      <c r="M22" s="519">
        <f>SUM(M23:M28)</f>
        <v>27665</v>
      </c>
      <c r="N22" s="367">
        <f>+M22/L22</f>
        <v>1.073</v>
      </c>
      <c r="O22" s="519">
        <f>SUM(O23:O28)</f>
        <v>80602</v>
      </c>
      <c r="P22" s="519">
        <f>SUM(P23:P28)</f>
        <v>86557</v>
      </c>
      <c r="Q22" s="367">
        <f>+P22/O22</f>
        <v>1.074</v>
      </c>
      <c r="R22" s="519">
        <f>SUM(R23:R28)</f>
        <v>68683</v>
      </c>
      <c r="S22" s="519">
        <f>SUM(S23:S28)</f>
        <v>69830</v>
      </c>
      <c r="T22" s="367">
        <f>+S22/R22</f>
        <v>1.017</v>
      </c>
      <c r="U22" s="519">
        <f>SUM(U23:U28)</f>
        <v>65038</v>
      </c>
      <c r="V22" s="519">
        <f>SUM(V23:V28)</f>
        <v>67958</v>
      </c>
      <c r="W22" s="367">
        <f>+V22/U22</f>
        <v>1.045</v>
      </c>
      <c r="X22" s="519">
        <f>SUM(X23:X28)</f>
        <v>110183</v>
      </c>
      <c r="Y22" s="519">
        <f>SUM(Y23:Y28)</f>
        <v>109654</v>
      </c>
      <c r="Z22" s="367">
        <f>+Y22/X22</f>
        <v>0.995</v>
      </c>
      <c r="AA22" s="519">
        <f>SUM(AA23:AA28)</f>
        <v>78433</v>
      </c>
      <c r="AB22" s="519">
        <f>SUM(AB23:AB28)</f>
        <v>68965</v>
      </c>
      <c r="AC22" s="367">
        <f>+AB22/AA22</f>
        <v>0.879</v>
      </c>
      <c r="AD22" s="519">
        <f>SUM(AD23:AD28)</f>
        <v>69546</v>
      </c>
      <c r="AE22" s="519">
        <f>SUM(AE23:AE28)</f>
        <v>69905</v>
      </c>
      <c r="AF22" s="367">
        <f>+AE22/AD22</f>
        <v>1.005</v>
      </c>
      <c r="AG22" s="519">
        <f>SUM(AG23:AG28)</f>
        <v>104537</v>
      </c>
      <c r="AH22" s="519">
        <f>SUM(AH23:AH28)</f>
        <v>108120</v>
      </c>
      <c r="AI22" s="367">
        <f>+AH22/AG22</f>
        <v>1.034</v>
      </c>
      <c r="AJ22" s="519">
        <f>SUM(AJ23:AJ28)</f>
        <v>63160</v>
      </c>
      <c r="AK22" s="519">
        <f>SUM(AK23:AK28)</f>
        <v>65912</v>
      </c>
      <c r="AL22" s="367">
        <f>+AK22/AJ22</f>
        <v>1.044</v>
      </c>
      <c r="AM22" s="519">
        <f>SUM(AM23:AM28)</f>
        <v>65612</v>
      </c>
      <c r="AN22" s="519">
        <f>SUM(AN23:AN28)</f>
        <v>72091</v>
      </c>
      <c r="AO22" s="367">
        <f>+AN22/AM22</f>
        <v>1.099</v>
      </c>
      <c r="AP22" s="519">
        <f>SUM(AP23:AP28)</f>
        <v>125211</v>
      </c>
      <c r="AQ22" s="519">
        <f>SUM(AQ23:AQ28)</f>
        <v>127111</v>
      </c>
      <c r="AR22" s="367">
        <f>+AQ22/AP22</f>
        <v>1.015</v>
      </c>
      <c r="AS22" s="355">
        <f>C22+F22+I22+L22+O22+R22+U22+X22+AA22+AD22+AG22+AJ22+AM22+AP22</f>
        <v>1073496</v>
      </c>
      <c r="AT22" s="331">
        <f>D22+G22+J22+M22+P22+S22+V22+Y22+AB22+AE22+AH22+AK22+AN22+AQ22</f>
        <v>1097701</v>
      </c>
      <c r="AU22" s="367">
        <f>+AT22/AS22</f>
        <v>1.023</v>
      </c>
      <c r="AV22" s="356"/>
      <c r="AW22" s="90"/>
    </row>
    <row r="23" spans="1:48" ht="12.75">
      <c r="A23" s="440"/>
      <c r="B23" s="441" t="s">
        <v>200</v>
      </c>
      <c r="C23" s="338">
        <v>51506</v>
      </c>
      <c r="D23" s="318">
        <f>51900+1462-108</f>
        <v>53254</v>
      </c>
      <c r="E23" s="326">
        <f>+D23/C23</f>
        <v>1.034</v>
      </c>
      <c r="F23" s="338">
        <v>54018</v>
      </c>
      <c r="G23" s="318">
        <f>51874+2284-120</f>
        <v>54038</v>
      </c>
      <c r="H23" s="326">
        <f>+G23/F23</f>
        <v>1</v>
      </c>
      <c r="I23" s="338">
        <f>29652+28649</f>
        <v>58301</v>
      </c>
      <c r="J23" s="318">
        <f>60213+3263-218</f>
        <v>63258</v>
      </c>
      <c r="K23" s="326">
        <f>+J23/I23</f>
        <v>1.085</v>
      </c>
      <c r="L23" s="338">
        <v>19442</v>
      </c>
      <c r="M23" s="318">
        <f>20142+963-39</f>
        <v>21066</v>
      </c>
      <c r="N23" s="326">
        <f>+M23/L23</f>
        <v>1.084</v>
      </c>
      <c r="O23" s="338">
        <v>61114</v>
      </c>
      <c r="P23" s="318">
        <f>63358+2964-150</f>
        <v>66172</v>
      </c>
      <c r="Q23" s="326">
        <f>+P23/O23</f>
        <v>1.083</v>
      </c>
      <c r="R23" s="338">
        <v>51734</v>
      </c>
      <c r="S23" s="318">
        <f>51462+1555-99</f>
        <v>52918</v>
      </c>
      <c r="T23" s="326">
        <f>+S23/R23</f>
        <v>1.023</v>
      </c>
      <c r="U23" s="338">
        <v>49109</v>
      </c>
      <c r="V23" s="318">
        <f>50202+1633-60</f>
        <v>51775</v>
      </c>
      <c r="W23" s="326">
        <f>+V23/U23</f>
        <v>1.054</v>
      </c>
      <c r="X23" s="338">
        <f>41483+41699</f>
        <v>83182</v>
      </c>
      <c r="Y23" s="318">
        <f>80325+3179-178</f>
        <v>83326</v>
      </c>
      <c r="Z23" s="326">
        <f>+Y23/X23</f>
        <v>1.002</v>
      </c>
      <c r="AA23" s="338">
        <v>59702</v>
      </c>
      <c r="AB23" s="318">
        <f>50994+1808-160</f>
        <v>52642</v>
      </c>
      <c r="AC23" s="326">
        <f>+AB23/AA23</f>
        <v>0.882</v>
      </c>
      <c r="AD23" s="338">
        <v>52325</v>
      </c>
      <c r="AE23" s="318">
        <f>52135+964-112</f>
        <v>52987</v>
      </c>
      <c r="AF23" s="326">
        <f>+AE23/AD23</f>
        <v>1.013</v>
      </c>
      <c r="AG23" s="338">
        <v>79138</v>
      </c>
      <c r="AH23" s="318">
        <f>79384+3256-217</f>
        <v>82423</v>
      </c>
      <c r="AI23" s="326">
        <f>+AH23/AG23</f>
        <v>1.042</v>
      </c>
      <c r="AJ23" s="338">
        <v>47463</v>
      </c>
      <c r="AK23" s="318">
        <f>48484+1584-128</f>
        <v>49940</v>
      </c>
      <c r="AL23" s="326">
        <f>+AK23/AJ23</f>
        <v>1.052</v>
      </c>
      <c r="AM23" s="338">
        <v>49360</v>
      </c>
      <c r="AN23" s="318">
        <f>51555+3356-107</f>
        <v>54804</v>
      </c>
      <c r="AO23" s="326">
        <f>+AN23/AM23</f>
        <v>1.11</v>
      </c>
      <c r="AP23" s="338">
        <f>51031+43492</f>
        <v>94523</v>
      </c>
      <c r="AQ23" s="318">
        <f>93769+3002-197</f>
        <v>96574</v>
      </c>
      <c r="AR23" s="326">
        <f>+AQ23/AP23</f>
        <v>1.022</v>
      </c>
      <c r="AS23" s="323">
        <f aca="true" t="shared" si="2" ref="AS23:AS33">C23+F23+I23+L23+O23+R23+U23+X23+AA23+AD23+AG23+AJ23+AM23+AP23</f>
        <v>810917</v>
      </c>
      <c r="AT23" s="318">
        <f aca="true" t="shared" si="3" ref="AT23:AT33">D23+G23+J23+M23+P23+S23+V23+Y23+AB23+AE23+AH23+AK23+AN23+AQ23</f>
        <v>835177</v>
      </c>
      <c r="AU23" s="326">
        <f>+AT23/AS23</f>
        <v>1.03</v>
      </c>
      <c r="AV23" s="329"/>
    </row>
    <row r="24" spans="1:48" ht="12.75">
      <c r="A24" s="440"/>
      <c r="B24" s="441" t="s">
        <v>201</v>
      </c>
      <c r="C24" s="338">
        <v>13745</v>
      </c>
      <c r="D24" s="318">
        <f>13851+395-29</f>
        <v>14217</v>
      </c>
      <c r="E24" s="326">
        <f>+D24/C24</f>
        <v>1.034</v>
      </c>
      <c r="F24" s="338">
        <v>14585</v>
      </c>
      <c r="G24" s="318">
        <f>13992+617-32</f>
        <v>14577</v>
      </c>
      <c r="H24" s="326">
        <f>+G24/F24</f>
        <v>0.999</v>
      </c>
      <c r="I24" s="338">
        <f>7955+7593</f>
        <v>15548</v>
      </c>
      <c r="J24" s="318">
        <f>16117+881-59</f>
        <v>16939</v>
      </c>
      <c r="K24" s="326">
        <f>+J24/I24</f>
        <v>1.089</v>
      </c>
      <c r="L24" s="338">
        <v>5176</v>
      </c>
      <c r="M24" s="318">
        <f>5366+249-11</f>
        <v>5604</v>
      </c>
      <c r="N24" s="326">
        <f>+M24/L24</f>
        <v>1.083</v>
      </c>
      <c r="O24" s="338">
        <v>16293</v>
      </c>
      <c r="P24" s="318">
        <f>16910+800-41</f>
        <v>17669</v>
      </c>
      <c r="Q24" s="326">
        <f>+P24/O24</f>
        <v>1.084</v>
      </c>
      <c r="R24" s="338">
        <v>13769</v>
      </c>
      <c r="S24" s="318">
        <f>13816+420-27</f>
        <v>14209</v>
      </c>
      <c r="T24" s="326">
        <f>+S24/R24</f>
        <v>1.032</v>
      </c>
      <c r="U24" s="338">
        <v>13004</v>
      </c>
      <c r="V24" s="318">
        <f>13272+441-16</f>
        <v>13697</v>
      </c>
      <c r="W24" s="326">
        <f>+V24/U24</f>
        <v>1.053</v>
      </c>
      <c r="X24" s="338">
        <f>11168+11123</f>
        <v>22291</v>
      </c>
      <c r="Y24" s="318">
        <f>21514+858-48</f>
        <v>22324</v>
      </c>
      <c r="Z24" s="326">
        <f>+Y24/X24</f>
        <v>1.001</v>
      </c>
      <c r="AA24" s="338">
        <v>15926</v>
      </c>
      <c r="AB24" s="318">
        <f>13494+488-43</f>
        <v>13939</v>
      </c>
      <c r="AC24" s="326">
        <f>+AB24/AA24</f>
        <v>0.875</v>
      </c>
      <c r="AD24" s="338">
        <v>14101</v>
      </c>
      <c r="AE24" s="318">
        <f>14036+260-30</f>
        <v>14266</v>
      </c>
      <c r="AF24" s="326">
        <f>+AE24/AD24</f>
        <v>1.012</v>
      </c>
      <c r="AG24" s="338">
        <v>21259</v>
      </c>
      <c r="AH24" s="318">
        <f>21358+879-59</f>
        <v>22178</v>
      </c>
      <c r="AI24" s="326">
        <f>+AH24/AG24</f>
        <v>1.043</v>
      </c>
      <c r="AJ24" s="338">
        <v>12637</v>
      </c>
      <c r="AK24" s="318">
        <f>12978+428-35</f>
        <v>13371</v>
      </c>
      <c r="AL24" s="326">
        <f>+AK24/AJ24</f>
        <v>1.058</v>
      </c>
      <c r="AM24" s="338">
        <v>13282</v>
      </c>
      <c r="AN24" s="318">
        <f>13885+906-29</f>
        <v>14762</v>
      </c>
      <c r="AO24" s="326">
        <f>+AN24/AM24</f>
        <v>1.111</v>
      </c>
      <c r="AP24" s="338">
        <f>13652+11651</f>
        <v>25303</v>
      </c>
      <c r="AQ24" s="318">
        <f>25202+811-53</f>
        <v>25960</v>
      </c>
      <c r="AR24" s="326">
        <f>+AQ24/AP24</f>
        <v>1.026</v>
      </c>
      <c r="AS24" s="323">
        <f t="shared" si="2"/>
        <v>216919</v>
      </c>
      <c r="AT24" s="318">
        <f t="shared" si="3"/>
        <v>223712</v>
      </c>
      <c r="AU24" s="326">
        <f>+AT24/AS24</f>
        <v>1.031</v>
      </c>
      <c r="AV24" s="329"/>
    </row>
    <row r="25" spans="1:48" ht="12.75">
      <c r="A25" s="440"/>
      <c r="B25" s="441" t="s">
        <v>202</v>
      </c>
      <c r="C25" s="338">
        <v>3045</v>
      </c>
      <c r="D25" s="318">
        <v>2588</v>
      </c>
      <c r="E25" s="326">
        <f>+D25/C25</f>
        <v>0.85</v>
      </c>
      <c r="F25" s="338">
        <v>2955</v>
      </c>
      <c r="G25" s="318">
        <v>2512</v>
      </c>
      <c r="H25" s="326">
        <f>+G25/F25</f>
        <v>0.85</v>
      </c>
      <c r="I25" s="338">
        <f>1500+1500</f>
        <v>3000</v>
      </c>
      <c r="J25" s="318">
        <v>2550</v>
      </c>
      <c r="K25" s="326">
        <f>+J25/I25</f>
        <v>0.85</v>
      </c>
      <c r="L25" s="338">
        <v>1170</v>
      </c>
      <c r="M25" s="318">
        <v>995</v>
      </c>
      <c r="N25" s="326">
        <f>+M25/L25</f>
        <v>0.85</v>
      </c>
      <c r="O25" s="338">
        <v>3195</v>
      </c>
      <c r="P25" s="318">
        <v>2716</v>
      </c>
      <c r="Q25" s="326">
        <f>+P25/O25</f>
        <v>0.85</v>
      </c>
      <c r="R25" s="338">
        <v>3180</v>
      </c>
      <c r="S25" s="318">
        <v>2703</v>
      </c>
      <c r="T25" s="326">
        <f>+S25/R25</f>
        <v>0.85</v>
      </c>
      <c r="U25" s="338">
        <v>2925</v>
      </c>
      <c r="V25" s="318">
        <v>2486</v>
      </c>
      <c r="W25" s="326">
        <f>+V25/U25</f>
        <v>0.85</v>
      </c>
      <c r="X25" s="338">
        <f>2400+2310</f>
        <v>4710</v>
      </c>
      <c r="Y25" s="318">
        <v>4004</v>
      </c>
      <c r="Z25" s="326">
        <f>+Y25/X25</f>
        <v>0.85</v>
      </c>
      <c r="AA25" s="338">
        <v>2805</v>
      </c>
      <c r="AB25" s="318">
        <v>2384</v>
      </c>
      <c r="AC25" s="326">
        <f>+AB25/AA25</f>
        <v>0.85</v>
      </c>
      <c r="AD25" s="338">
        <v>3120</v>
      </c>
      <c r="AE25" s="318">
        <v>2652</v>
      </c>
      <c r="AF25" s="326">
        <f>+AE25/AD25</f>
        <v>0.85</v>
      </c>
      <c r="AG25" s="338">
        <v>4140</v>
      </c>
      <c r="AH25" s="318">
        <v>3519</v>
      </c>
      <c r="AI25" s="326">
        <f>+AH25/AG25</f>
        <v>0.85</v>
      </c>
      <c r="AJ25" s="338">
        <v>3060</v>
      </c>
      <c r="AK25" s="318">
        <v>2601</v>
      </c>
      <c r="AL25" s="326">
        <f>+AK25/AJ25</f>
        <v>0.85</v>
      </c>
      <c r="AM25" s="338">
        <v>2970</v>
      </c>
      <c r="AN25" s="318">
        <v>2525</v>
      </c>
      <c r="AO25" s="326">
        <f>+AN25/AM25</f>
        <v>0.85</v>
      </c>
      <c r="AP25" s="338">
        <f>3105+2280</f>
        <v>5385</v>
      </c>
      <c r="AQ25" s="318">
        <v>4577</v>
      </c>
      <c r="AR25" s="326">
        <f>+AQ25/AP25</f>
        <v>0.85</v>
      </c>
      <c r="AS25" s="323">
        <f t="shared" si="2"/>
        <v>45660</v>
      </c>
      <c r="AT25" s="318">
        <f t="shared" si="3"/>
        <v>38812</v>
      </c>
      <c r="AU25" s="326">
        <f>+AT25/AS25</f>
        <v>0.85</v>
      </c>
      <c r="AV25" s="329"/>
    </row>
    <row r="26" spans="1:48" ht="12.75">
      <c r="A26" s="440"/>
      <c r="B26" s="441" t="s">
        <v>203</v>
      </c>
      <c r="C26" s="337"/>
      <c r="D26" s="319"/>
      <c r="E26" s="324"/>
      <c r="F26" s="337"/>
      <c r="G26" s="319"/>
      <c r="H26" s="324"/>
      <c r="I26" s="337"/>
      <c r="J26" s="319"/>
      <c r="K26" s="324"/>
      <c r="L26" s="337"/>
      <c r="M26" s="319"/>
      <c r="N26" s="324"/>
      <c r="O26" s="337"/>
      <c r="P26" s="319"/>
      <c r="Q26" s="324"/>
      <c r="R26" s="337"/>
      <c r="S26" s="319"/>
      <c r="T26" s="324"/>
      <c r="U26" s="337"/>
      <c r="V26" s="319"/>
      <c r="W26" s="324"/>
      <c r="X26" s="337"/>
      <c r="Y26" s="319"/>
      <c r="Z26" s="324"/>
      <c r="AA26" s="337"/>
      <c r="AB26" s="319"/>
      <c r="AC26" s="324"/>
      <c r="AD26" s="337"/>
      <c r="AE26" s="319"/>
      <c r="AF26" s="324"/>
      <c r="AG26" s="337"/>
      <c r="AH26" s="319"/>
      <c r="AI26" s="324"/>
      <c r="AJ26" s="337"/>
      <c r="AK26" s="319"/>
      <c r="AL26" s="324"/>
      <c r="AM26" s="337"/>
      <c r="AN26" s="319"/>
      <c r="AO26" s="324"/>
      <c r="AP26" s="337"/>
      <c r="AQ26" s="319"/>
      <c r="AR26" s="324"/>
      <c r="AS26" s="323">
        <f t="shared" si="2"/>
        <v>0</v>
      </c>
      <c r="AT26" s="318">
        <f t="shared" si="3"/>
        <v>0</v>
      </c>
      <c r="AU26" s="326"/>
      <c r="AV26" s="329"/>
    </row>
    <row r="27" spans="1:48" ht="12.75">
      <c r="A27" s="440"/>
      <c r="B27" s="441" t="s">
        <v>204</v>
      </c>
      <c r="C27" s="337"/>
      <c r="D27" s="319"/>
      <c r="E27" s="324"/>
      <c r="F27" s="337"/>
      <c r="G27" s="319"/>
      <c r="H27" s="324"/>
      <c r="I27" s="337"/>
      <c r="J27" s="319"/>
      <c r="K27" s="324"/>
      <c r="L27" s="337"/>
      <c r="M27" s="319"/>
      <c r="N27" s="324"/>
      <c r="O27" s="337"/>
      <c r="P27" s="319"/>
      <c r="Q27" s="324"/>
      <c r="R27" s="337"/>
      <c r="S27" s="319"/>
      <c r="T27" s="324"/>
      <c r="U27" s="337"/>
      <c r="V27" s="319"/>
      <c r="W27" s="324"/>
      <c r="X27" s="337"/>
      <c r="Y27" s="319"/>
      <c r="Z27" s="324"/>
      <c r="AA27" s="337"/>
      <c r="AB27" s="319"/>
      <c r="AC27" s="324"/>
      <c r="AD27" s="337"/>
      <c r="AE27" s="319"/>
      <c r="AF27" s="324"/>
      <c r="AG27" s="337"/>
      <c r="AH27" s="319"/>
      <c r="AI27" s="324"/>
      <c r="AJ27" s="337"/>
      <c r="AK27" s="319"/>
      <c r="AL27" s="324"/>
      <c r="AM27" s="337"/>
      <c r="AN27" s="319"/>
      <c r="AO27" s="324"/>
      <c r="AP27" s="337"/>
      <c r="AQ27" s="319"/>
      <c r="AR27" s="324"/>
      <c r="AS27" s="323">
        <f t="shared" si="2"/>
        <v>0</v>
      </c>
      <c r="AT27" s="318">
        <f t="shared" si="3"/>
        <v>0</v>
      </c>
      <c r="AU27" s="326"/>
      <c r="AV27" s="329"/>
    </row>
    <row r="28" spans="1:48" ht="12.75">
      <c r="A28" s="440"/>
      <c r="B28" s="441" t="s">
        <v>205</v>
      </c>
      <c r="C28" s="337"/>
      <c r="D28" s="319"/>
      <c r="E28" s="324"/>
      <c r="F28" s="337"/>
      <c r="G28" s="319"/>
      <c r="H28" s="324"/>
      <c r="I28" s="337"/>
      <c r="J28" s="319"/>
      <c r="K28" s="324"/>
      <c r="L28" s="337"/>
      <c r="M28" s="319"/>
      <c r="N28" s="324"/>
      <c r="O28" s="337"/>
      <c r="P28" s="319"/>
      <c r="Q28" s="324"/>
      <c r="R28" s="337"/>
      <c r="S28" s="319"/>
      <c r="T28" s="324"/>
      <c r="U28" s="337"/>
      <c r="V28" s="319"/>
      <c r="W28" s="324"/>
      <c r="X28" s="337"/>
      <c r="Y28" s="319"/>
      <c r="Z28" s="324"/>
      <c r="AA28" s="337"/>
      <c r="AB28" s="319"/>
      <c r="AC28" s="324"/>
      <c r="AD28" s="337"/>
      <c r="AE28" s="319"/>
      <c r="AF28" s="324"/>
      <c r="AG28" s="337"/>
      <c r="AH28" s="319"/>
      <c r="AI28" s="324"/>
      <c r="AJ28" s="337"/>
      <c r="AK28" s="319"/>
      <c r="AL28" s="324"/>
      <c r="AM28" s="337"/>
      <c r="AN28" s="319"/>
      <c r="AO28" s="324"/>
      <c r="AP28" s="337"/>
      <c r="AQ28" s="319"/>
      <c r="AR28" s="324"/>
      <c r="AS28" s="323">
        <f t="shared" si="2"/>
        <v>0</v>
      </c>
      <c r="AT28" s="318">
        <f t="shared" si="3"/>
        <v>0</v>
      </c>
      <c r="AU28" s="326"/>
      <c r="AV28" s="329"/>
    </row>
    <row r="29" spans="1:48" ht="12.75">
      <c r="A29" s="440" t="s">
        <v>66</v>
      </c>
      <c r="B29" s="441" t="s">
        <v>62</v>
      </c>
      <c r="C29" s="337"/>
      <c r="D29" s="319"/>
      <c r="E29" s="324"/>
      <c r="F29" s="337"/>
      <c r="G29" s="319"/>
      <c r="H29" s="324"/>
      <c r="I29" s="337"/>
      <c r="J29" s="319"/>
      <c r="K29" s="324"/>
      <c r="L29" s="337"/>
      <c r="M29" s="319"/>
      <c r="N29" s="324"/>
      <c r="O29" s="337"/>
      <c r="P29" s="319"/>
      <c r="Q29" s="324"/>
      <c r="R29" s="337"/>
      <c r="S29" s="319"/>
      <c r="T29" s="324"/>
      <c r="U29" s="337"/>
      <c r="V29" s="319"/>
      <c r="W29" s="324"/>
      <c r="X29" s="337"/>
      <c r="Y29" s="319"/>
      <c r="Z29" s="324"/>
      <c r="AA29" s="337"/>
      <c r="AB29" s="319"/>
      <c r="AC29" s="324"/>
      <c r="AD29" s="337"/>
      <c r="AE29" s="319"/>
      <c r="AF29" s="324"/>
      <c r="AG29" s="337"/>
      <c r="AH29" s="319"/>
      <c r="AI29" s="324"/>
      <c r="AJ29" s="337"/>
      <c r="AK29" s="319"/>
      <c r="AL29" s="324"/>
      <c r="AM29" s="337"/>
      <c r="AN29" s="319"/>
      <c r="AO29" s="324"/>
      <c r="AP29" s="337"/>
      <c r="AQ29" s="319"/>
      <c r="AR29" s="324"/>
      <c r="AS29" s="323">
        <f t="shared" si="2"/>
        <v>0</v>
      </c>
      <c r="AT29" s="318">
        <f t="shared" si="3"/>
        <v>0</v>
      </c>
      <c r="AU29" s="326"/>
      <c r="AV29" s="329"/>
    </row>
    <row r="30" spans="1:48" ht="12.75">
      <c r="A30" s="440" t="s">
        <v>68</v>
      </c>
      <c r="B30" s="80" t="s">
        <v>446</v>
      </c>
      <c r="C30" s="337"/>
      <c r="D30" s="319"/>
      <c r="E30" s="324"/>
      <c r="F30" s="337"/>
      <c r="G30" s="319"/>
      <c r="H30" s="324"/>
      <c r="I30" s="337"/>
      <c r="J30" s="319"/>
      <c r="K30" s="324"/>
      <c r="L30" s="337"/>
      <c r="M30" s="319"/>
      <c r="N30" s="324"/>
      <c r="O30" s="337"/>
      <c r="P30" s="319"/>
      <c r="Q30" s="324"/>
      <c r="R30" s="337"/>
      <c r="S30" s="319"/>
      <c r="T30" s="324"/>
      <c r="U30" s="337"/>
      <c r="V30" s="319"/>
      <c r="W30" s="324"/>
      <c r="X30" s="337"/>
      <c r="Y30" s="319"/>
      <c r="Z30" s="324"/>
      <c r="AA30" s="337"/>
      <c r="AB30" s="319"/>
      <c r="AC30" s="324"/>
      <c r="AD30" s="337"/>
      <c r="AE30" s="319"/>
      <c r="AF30" s="324"/>
      <c r="AG30" s="337"/>
      <c r="AH30" s="319"/>
      <c r="AI30" s="324"/>
      <c r="AJ30" s="337"/>
      <c r="AK30" s="319"/>
      <c r="AL30" s="324"/>
      <c r="AM30" s="337"/>
      <c r="AN30" s="319"/>
      <c r="AO30" s="324"/>
      <c r="AP30" s="337"/>
      <c r="AQ30" s="319"/>
      <c r="AR30" s="324"/>
      <c r="AS30" s="323">
        <f t="shared" si="2"/>
        <v>0</v>
      </c>
      <c r="AT30" s="318">
        <f t="shared" si="3"/>
        <v>0</v>
      </c>
      <c r="AU30" s="326"/>
      <c r="AV30" s="329"/>
    </row>
    <row r="31" spans="1:48" ht="12.75">
      <c r="A31" s="440" t="s">
        <v>70</v>
      </c>
      <c r="B31" s="441" t="s">
        <v>65</v>
      </c>
      <c r="C31" s="337"/>
      <c r="D31" s="319"/>
      <c r="E31" s="324"/>
      <c r="F31" s="337"/>
      <c r="G31" s="319"/>
      <c r="H31" s="324"/>
      <c r="I31" s="337"/>
      <c r="J31" s="319"/>
      <c r="K31" s="324"/>
      <c r="L31" s="337"/>
      <c r="M31" s="319"/>
      <c r="N31" s="324"/>
      <c r="O31" s="337"/>
      <c r="P31" s="319"/>
      <c r="Q31" s="324"/>
      <c r="R31" s="337"/>
      <c r="S31" s="319"/>
      <c r="T31" s="324"/>
      <c r="U31" s="337"/>
      <c r="V31" s="319"/>
      <c r="W31" s="324"/>
      <c r="X31" s="337"/>
      <c r="Y31" s="319"/>
      <c r="Z31" s="324"/>
      <c r="AA31" s="337"/>
      <c r="AB31" s="319"/>
      <c r="AC31" s="324"/>
      <c r="AD31" s="337"/>
      <c r="AE31" s="319"/>
      <c r="AF31" s="324"/>
      <c r="AG31" s="337"/>
      <c r="AH31" s="319"/>
      <c r="AI31" s="324"/>
      <c r="AJ31" s="337"/>
      <c r="AK31" s="319"/>
      <c r="AL31" s="324"/>
      <c r="AM31" s="337"/>
      <c r="AN31" s="319"/>
      <c r="AO31" s="324"/>
      <c r="AP31" s="337"/>
      <c r="AQ31" s="319"/>
      <c r="AR31" s="324"/>
      <c r="AS31" s="323">
        <f t="shared" si="2"/>
        <v>0</v>
      </c>
      <c r="AT31" s="318">
        <f t="shared" si="3"/>
        <v>0</v>
      </c>
      <c r="AU31" s="324"/>
      <c r="AV31" s="329"/>
    </row>
    <row r="32" spans="1:49" ht="12.75">
      <c r="A32" s="440" t="s">
        <v>183</v>
      </c>
      <c r="B32" s="441" t="s">
        <v>67</v>
      </c>
      <c r="C32" s="342"/>
      <c r="D32" s="320"/>
      <c r="E32" s="326"/>
      <c r="F32" s="342"/>
      <c r="G32" s="320"/>
      <c r="H32" s="326"/>
      <c r="I32" s="342"/>
      <c r="J32" s="320"/>
      <c r="K32" s="326"/>
      <c r="L32" s="342"/>
      <c r="M32" s="320"/>
      <c r="N32" s="326"/>
      <c r="O32" s="342"/>
      <c r="P32" s="320"/>
      <c r="Q32" s="326"/>
      <c r="R32" s="342"/>
      <c r="S32" s="320"/>
      <c r="T32" s="326"/>
      <c r="U32" s="342"/>
      <c r="V32" s="320"/>
      <c r="W32" s="326"/>
      <c r="X32" s="342"/>
      <c r="Y32" s="320"/>
      <c r="Z32" s="326"/>
      <c r="AA32" s="342"/>
      <c r="AB32" s="320"/>
      <c r="AC32" s="326"/>
      <c r="AD32" s="342"/>
      <c r="AE32" s="320"/>
      <c r="AF32" s="326"/>
      <c r="AG32" s="342"/>
      <c r="AH32" s="320"/>
      <c r="AI32" s="326"/>
      <c r="AJ32" s="342"/>
      <c r="AK32" s="320"/>
      <c r="AL32" s="326"/>
      <c r="AM32" s="342"/>
      <c r="AN32" s="320"/>
      <c r="AO32" s="326"/>
      <c r="AP32" s="342"/>
      <c r="AQ32" s="320"/>
      <c r="AR32" s="326"/>
      <c r="AS32" s="323">
        <f t="shared" si="2"/>
        <v>0</v>
      </c>
      <c r="AT32" s="318">
        <f t="shared" si="3"/>
        <v>0</v>
      </c>
      <c r="AU32" s="326"/>
      <c r="AV32" s="329"/>
      <c r="AW32" s="79"/>
    </row>
    <row r="33" spans="1:48" ht="13.5" thickBot="1">
      <c r="A33" s="443" t="s">
        <v>184</v>
      </c>
      <c r="B33" s="444" t="s">
        <v>69</v>
      </c>
      <c r="C33" s="343"/>
      <c r="D33" s="334"/>
      <c r="E33" s="352"/>
      <c r="F33" s="343"/>
      <c r="G33" s="334"/>
      <c r="H33" s="352"/>
      <c r="I33" s="343"/>
      <c r="J33" s="334"/>
      <c r="K33" s="352"/>
      <c r="L33" s="343"/>
      <c r="M33" s="334"/>
      <c r="N33" s="352"/>
      <c r="O33" s="343"/>
      <c r="P33" s="334"/>
      <c r="Q33" s="352"/>
      <c r="R33" s="343"/>
      <c r="S33" s="334"/>
      <c r="T33" s="352"/>
      <c r="U33" s="343"/>
      <c r="V33" s="334"/>
      <c r="W33" s="352"/>
      <c r="X33" s="343"/>
      <c r="Y33" s="334"/>
      <c r="Z33" s="352"/>
      <c r="AA33" s="343"/>
      <c r="AB33" s="334"/>
      <c r="AC33" s="352"/>
      <c r="AD33" s="343"/>
      <c r="AE33" s="334"/>
      <c r="AF33" s="352"/>
      <c r="AG33" s="343"/>
      <c r="AH33" s="334"/>
      <c r="AI33" s="352"/>
      <c r="AJ33" s="343"/>
      <c r="AK33" s="334"/>
      <c r="AL33" s="352"/>
      <c r="AM33" s="343"/>
      <c r="AN33" s="334"/>
      <c r="AO33" s="352"/>
      <c r="AP33" s="343"/>
      <c r="AQ33" s="334"/>
      <c r="AR33" s="352"/>
      <c r="AS33" s="359">
        <f t="shared" si="2"/>
        <v>0</v>
      </c>
      <c r="AT33" s="360">
        <f t="shared" si="3"/>
        <v>0</v>
      </c>
      <c r="AU33" s="352"/>
      <c r="AV33" s="329"/>
    </row>
    <row r="34" spans="1:48" s="87" customFormat="1" ht="14.25" thickBot="1" thickTop="1">
      <c r="A34" s="171" t="s">
        <v>468</v>
      </c>
      <c r="B34" s="86" t="s">
        <v>324</v>
      </c>
      <c r="C34" s="344">
        <f>SUM(C22,C29:C33)</f>
        <v>68296</v>
      </c>
      <c r="D34" s="344">
        <f>SUM(D22,D29:D33)</f>
        <v>70059</v>
      </c>
      <c r="E34" s="364">
        <f>+D34/C34</f>
        <v>1.026</v>
      </c>
      <c r="F34" s="344">
        <f>SUM(F22,F29:F33)</f>
        <v>71558</v>
      </c>
      <c r="G34" s="344">
        <f>SUM(G22,G29:G33)</f>
        <v>71127</v>
      </c>
      <c r="H34" s="364">
        <f>+G34/F34</f>
        <v>0.994</v>
      </c>
      <c r="I34" s="344">
        <f>SUM(I22,I29:I33)</f>
        <v>76849</v>
      </c>
      <c r="J34" s="344">
        <f>SUM(J22,J29:J33)</f>
        <v>82747</v>
      </c>
      <c r="K34" s="364">
        <f>+J34/I34</f>
        <v>1.077</v>
      </c>
      <c r="L34" s="344">
        <f>SUM(L22,L29:L33)</f>
        <v>25788</v>
      </c>
      <c r="M34" s="344">
        <f>SUM(M22,M29:M33)</f>
        <v>27665</v>
      </c>
      <c r="N34" s="364">
        <f>+M34/L34</f>
        <v>1.073</v>
      </c>
      <c r="O34" s="344">
        <f>SUM(O22,O29:O33)</f>
        <v>80602</v>
      </c>
      <c r="P34" s="344">
        <f>SUM(P22,P29:P33)</f>
        <v>86557</v>
      </c>
      <c r="Q34" s="364">
        <f>+P34/O34</f>
        <v>1.074</v>
      </c>
      <c r="R34" s="344">
        <f>SUM(R22,R29:R33)</f>
        <v>68683</v>
      </c>
      <c r="S34" s="344">
        <f>SUM(S22,S29:S33)</f>
        <v>69830</v>
      </c>
      <c r="T34" s="364">
        <f>+S34/R34</f>
        <v>1.017</v>
      </c>
      <c r="U34" s="344">
        <f>SUM(U22,U29:U33)</f>
        <v>65038</v>
      </c>
      <c r="V34" s="344">
        <f>SUM(V22,V29:V33)</f>
        <v>67958</v>
      </c>
      <c r="W34" s="364">
        <f>+V34/U34</f>
        <v>1.045</v>
      </c>
      <c r="X34" s="344">
        <f>SUM(X22,X29:X33)</f>
        <v>110183</v>
      </c>
      <c r="Y34" s="344">
        <f>SUM(Y22,Y29:Y33)</f>
        <v>109654</v>
      </c>
      <c r="Z34" s="364">
        <f>+Y34/X34</f>
        <v>0.995</v>
      </c>
      <c r="AA34" s="344">
        <f>SUM(AA22,AA29:AA33)</f>
        <v>78433</v>
      </c>
      <c r="AB34" s="344">
        <f>SUM(AB22,AB29:AB33)</f>
        <v>68965</v>
      </c>
      <c r="AC34" s="364">
        <f>+AB34/AA34</f>
        <v>0.879</v>
      </c>
      <c r="AD34" s="344">
        <f>SUM(AD22,AD29:AD33)</f>
        <v>69546</v>
      </c>
      <c r="AE34" s="344">
        <f>SUM(AE22,AE29:AE33)</f>
        <v>69905</v>
      </c>
      <c r="AF34" s="364">
        <f>+AE34/AD34</f>
        <v>1.005</v>
      </c>
      <c r="AG34" s="344">
        <f>SUM(AG22,AG29:AG33)</f>
        <v>104537</v>
      </c>
      <c r="AH34" s="344">
        <f>SUM(AH22,AH29:AH33)</f>
        <v>108120</v>
      </c>
      <c r="AI34" s="364">
        <f>+AH34/AG34</f>
        <v>1.034</v>
      </c>
      <c r="AJ34" s="344">
        <f>SUM(AJ22,AJ29:AJ33)</f>
        <v>63160</v>
      </c>
      <c r="AK34" s="344">
        <f>SUM(AK22,AK29:AK33)</f>
        <v>65912</v>
      </c>
      <c r="AL34" s="364">
        <f>+AK34/AJ34</f>
        <v>1.044</v>
      </c>
      <c r="AM34" s="344">
        <f>SUM(AM22,AM29:AM33)</f>
        <v>65612</v>
      </c>
      <c r="AN34" s="344">
        <f>SUM(AN22,AN29:AN33)</f>
        <v>72091</v>
      </c>
      <c r="AO34" s="364">
        <f>+AN34/AM34</f>
        <v>1.099</v>
      </c>
      <c r="AP34" s="344">
        <f>SUM(AP22,AP29:AP33)</f>
        <v>125211</v>
      </c>
      <c r="AQ34" s="344">
        <f>SUM(AQ22,AQ29:AQ33)</f>
        <v>127111</v>
      </c>
      <c r="AR34" s="364">
        <f>+AQ34/AP34</f>
        <v>1.015</v>
      </c>
      <c r="AS34" s="354">
        <f>SUM(AS22,AS29:AS33)</f>
        <v>1073496</v>
      </c>
      <c r="AT34" s="344">
        <f>SUM(AT22,AT29:AT33)</f>
        <v>1097701</v>
      </c>
      <c r="AU34" s="364">
        <f>+AT34/AS34</f>
        <v>1.023</v>
      </c>
      <c r="AV34" s="356"/>
    </row>
    <row r="35" spans="1:48" ht="14.25" thickBot="1" thickTop="1">
      <c r="A35" s="458"/>
      <c r="B35" s="500" t="s">
        <v>84</v>
      </c>
      <c r="C35" s="450">
        <f>SUM(C36:C37)</f>
        <v>30</v>
      </c>
      <c r="D35" s="450">
        <f>SUM(D36:D37)</f>
        <v>30</v>
      </c>
      <c r="E35" s="357">
        <f>+D35/C35</f>
        <v>1</v>
      </c>
      <c r="F35" s="450">
        <f>SUM(F36:F37)</f>
        <v>31</v>
      </c>
      <c r="G35" s="450">
        <f>SUM(G36:G37)</f>
        <v>30.5</v>
      </c>
      <c r="H35" s="357">
        <f>+G35/F35</f>
        <v>0.984</v>
      </c>
      <c r="I35" s="450">
        <f>SUM(I36:I37)</f>
        <v>34</v>
      </c>
      <c r="J35" s="450">
        <f>SUM(J36:J37)</f>
        <v>33</v>
      </c>
      <c r="K35" s="357">
        <f>+J35/I35</f>
        <v>0.971</v>
      </c>
      <c r="L35" s="450">
        <f>SUM(L36:L37)</f>
        <v>12.5</v>
      </c>
      <c r="M35" s="450">
        <f>SUM(M36:M37)</f>
        <v>13</v>
      </c>
      <c r="N35" s="357">
        <f>+M35/L35</f>
        <v>1.04</v>
      </c>
      <c r="O35" s="450">
        <f>SUM(O36:O37)</f>
        <v>36.5</v>
      </c>
      <c r="P35" s="450">
        <f>SUM(P36:P37)</f>
        <v>36.5</v>
      </c>
      <c r="Q35" s="357">
        <f>+P35/O35</f>
        <v>1</v>
      </c>
      <c r="R35" s="450">
        <f>SUM(R36:R37)</f>
        <v>30</v>
      </c>
      <c r="S35" s="450">
        <f>SUM(S36:S37)</f>
        <v>30</v>
      </c>
      <c r="T35" s="357">
        <f>+S35/R35</f>
        <v>1</v>
      </c>
      <c r="U35" s="450">
        <f>SUM(U36:U37)</f>
        <v>30</v>
      </c>
      <c r="V35" s="450">
        <f>SUM(V36:V37)</f>
        <v>30</v>
      </c>
      <c r="W35" s="357">
        <f>+V35/U35</f>
        <v>1</v>
      </c>
      <c r="X35" s="450">
        <f>SUM(X36:X37)</f>
        <v>48</v>
      </c>
      <c r="Y35" s="450">
        <f>SUM(Y36:Y37)</f>
        <v>46.5</v>
      </c>
      <c r="Z35" s="357">
        <f>+Y35/X35</f>
        <v>0.969</v>
      </c>
      <c r="AA35" s="450">
        <f>SUM(AA36:AA37)</f>
        <v>34</v>
      </c>
      <c r="AB35" s="450">
        <f>SUM(AB36:AB37)</f>
        <v>31</v>
      </c>
      <c r="AC35" s="357">
        <f>+AB35/AA35</f>
        <v>0.912</v>
      </c>
      <c r="AD35" s="450">
        <f>SUM(AD36:AD37)</f>
        <v>32</v>
      </c>
      <c r="AE35" s="450">
        <f>SUM(AE36:AE37)</f>
        <v>32</v>
      </c>
      <c r="AF35" s="357">
        <f>+AE35/AD35</f>
        <v>1</v>
      </c>
      <c r="AG35" s="450">
        <f>SUM(AG36:AG37)</f>
        <v>46.5</v>
      </c>
      <c r="AH35" s="450">
        <f>SUM(AH36:AH37)</f>
        <v>46.5</v>
      </c>
      <c r="AI35" s="357">
        <f>+AH35/AG35</f>
        <v>1</v>
      </c>
      <c r="AJ35" s="450">
        <f>SUM(AJ36:AJ37)</f>
        <v>30</v>
      </c>
      <c r="AK35" s="450">
        <f>SUM(AK36:AK37)</f>
        <v>30</v>
      </c>
      <c r="AL35" s="357">
        <f>+AK35/AJ35</f>
        <v>1</v>
      </c>
      <c r="AM35" s="450">
        <f>SUM(AM36:AM37)</f>
        <v>30</v>
      </c>
      <c r="AN35" s="450">
        <f>SUM(AN36:AN37)</f>
        <v>30</v>
      </c>
      <c r="AO35" s="357">
        <f>+AN35/AM35</f>
        <v>1</v>
      </c>
      <c r="AP35" s="450">
        <f>SUM(AP36:AP37)</f>
        <v>55</v>
      </c>
      <c r="AQ35" s="450">
        <f>SUM(AQ36:AQ37)</f>
        <v>54</v>
      </c>
      <c r="AR35" s="357">
        <f>+AQ35/AP35</f>
        <v>0.982</v>
      </c>
      <c r="AS35" s="450">
        <f aca="true" t="shared" si="4" ref="AS35:AT37">C35+F35+I35+L35+O35+R35+U35+X35+AA35+AD35+AG35+AJ35+AM35+AP35</f>
        <v>479.5</v>
      </c>
      <c r="AT35" s="450">
        <f t="shared" si="4"/>
        <v>473</v>
      </c>
      <c r="AU35" s="357">
        <f>+AT35/AS35</f>
        <v>0.986</v>
      </c>
      <c r="AV35" s="329"/>
    </row>
    <row r="36" spans="1:48" ht="13.5" thickTop="1">
      <c r="A36" s="446"/>
      <c r="B36" s="447" t="s">
        <v>331</v>
      </c>
      <c r="C36" s="451">
        <v>17</v>
      </c>
      <c r="D36" s="451">
        <v>17</v>
      </c>
      <c r="E36" s="361">
        <f>+D36/C36</f>
        <v>1</v>
      </c>
      <c r="F36" s="451">
        <v>18</v>
      </c>
      <c r="G36" s="451">
        <v>17</v>
      </c>
      <c r="H36" s="361">
        <f>+G36/F36</f>
        <v>0.944</v>
      </c>
      <c r="I36" s="451">
        <f>9+9</f>
        <v>18</v>
      </c>
      <c r="J36" s="451">
        <v>17</v>
      </c>
      <c r="K36" s="361">
        <f>+J36/I36</f>
        <v>0.944</v>
      </c>
      <c r="L36" s="451">
        <v>7</v>
      </c>
      <c r="M36" s="451">
        <v>7</v>
      </c>
      <c r="N36" s="361">
        <f>+M36/L36</f>
        <v>1</v>
      </c>
      <c r="O36" s="451">
        <v>19</v>
      </c>
      <c r="P36" s="451">
        <v>19</v>
      </c>
      <c r="Q36" s="361">
        <f>+P36/O36</f>
        <v>1</v>
      </c>
      <c r="R36" s="451">
        <v>17</v>
      </c>
      <c r="S36" s="451">
        <v>17</v>
      </c>
      <c r="T36" s="361">
        <f>+S36/R36</f>
        <v>1</v>
      </c>
      <c r="U36" s="451">
        <v>17</v>
      </c>
      <c r="V36" s="451">
        <v>17</v>
      </c>
      <c r="W36" s="361">
        <f>+V36/U36</f>
        <v>1</v>
      </c>
      <c r="X36" s="451">
        <f>14+13</f>
        <v>27</v>
      </c>
      <c r="Y36" s="451">
        <v>25</v>
      </c>
      <c r="Z36" s="361">
        <f>+Y36/X36</f>
        <v>0.926</v>
      </c>
      <c r="AA36" s="451">
        <v>20</v>
      </c>
      <c r="AB36" s="451">
        <v>17</v>
      </c>
      <c r="AC36" s="361">
        <f>+AB36/AA36</f>
        <v>0.85</v>
      </c>
      <c r="AD36" s="451">
        <v>17</v>
      </c>
      <c r="AE36" s="451">
        <v>17</v>
      </c>
      <c r="AF36" s="361">
        <f>+AE36/AD36</f>
        <v>1</v>
      </c>
      <c r="AG36" s="451">
        <v>25.5</v>
      </c>
      <c r="AH36" s="451">
        <v>25.5</v>
      </c>
      <c r="AI36" s="361">
        <f>+AH36/AG36</f>
        <v>1</v>
      </c>
      <c r="AJ36" s="451">
        <v>17</v>
      </c>
      <c r="AK36" s="451">
        <v>17</v>
      </c>
      <c r="AL36" s="361">
        <f>+AK36/AJ36</f>
        <v>1</v>
      </c>
      <c r="AM36" s="451">
        <v>17</v>
      </c>
      <c r="AN36" s="451">
        <v>17</v>
      </c>
      <c r="AO36" s="361">
        <f>+AN36/AM36</f>
        <v>1</v>
      </c>
      <c r="AP36" s="451">
        <f>17+14</f>
        <v>31</v>
      </c>
      <c r="AQ36" s="451">
        <v>29</v>
      </c>
      <c r="AR36" s="361">
        <f>+AQ36/AP36</f>
        <v>0.935</v>
      </c>
      <c r="AS36" s="451">
        <f t="shared" si="4"/>
        <v>267.5</v>
      </c>
      <c r="AT36" s="451">
        <f t="shared" si="4"/>
        <v>258.5</v>
      </c>
      <c r="AU36" s="361">
        <f>+AT36/AS36</f>
        <v>0.966</v>
      </c>
      <c r="AV36" s="329"/>
    </row>
    <row r="37" spans="1:48" ht="13.5" thickBot="1">
      <c r="A37" s="448"/>
      <c r="B37" s="449" t="s">
        <v>332</v>
      </c>
      <c r="C37" s="452">
        <v>13</v>
      </c>
      <c r="D37" s="452">
        <v>13</v>
      </c>
      <c r="E37" s="362">
        <f>+D37/C37</f>
        <v>1</v>
      </c>
      <c r="F37" s="452">
        <v>13</v>
      </c>
      <c r="G37" s="452">
        <v>13.5</v>
      </c>
      <c r="H37" s="362">
        <f>+G37/F37</f>
        <v>1.038</v>
      </c>
      <c r="I37" s="452">
        <f>8+8</f>
        <v>16</v>
      </c>
      <c r="J37" s="452">
        <v>16</v>
      </c>
      <c r="K37" s="362">
        <f>+J37/I37</f>
        <v>1</v>
      </c>
      <c r="L37" s="452">
        <v>5.5</v>
      </c>
      <c r="M37" s="452">
        <v>6</v>
      </c>
      <c r="N37" s="362">
        <f>+M37/L37</f>
        <v>1.091</v>
      </c>
      <c r="O37" s="452">
        <v>17.5</v>
      </c>
      <c r="P37" s="452">
        <v>17.5</v>
      </c>
      <c r="Q37" s="362">
        <f>+P37/O37</f>
        <v>1</v>
      </c>
      <c r="R37" s="452">
        <v>13</v>
      </c>
      <c r="S37" s="452">
        <v>13</v>
      </c>
      <c r="T37" s="362">
        <f>+S37/R37</f>
        <v>1</v>
      </c>
      <c r="U37" s="452">
        <v>13</v>
      </c>
      <c r="V37" s="452">
        <v>13</v>
      </c>
      <c r="W37" s="362">
        <f>+V37/U37</f>
        <v>1</v>
      </c>
      <c r="X37" s="452">
        <f>10+11</f>
        <v>21</v>
      </c>
      <c r="Y37" s="452">
        <v>21.5</v>
      </c>
      <c r="Z37" s="362">
        <f>+Y37/X37</f>
        <v>1.024</v>
      </c>
      <c r="AA37" s="452">
        <v>14</v>
      </c>
      <c r="AB37" s="452">
        <v>14</v>
      </c>
      <c r="AC37" s="362">
        <f>+AB37/AA37</f>
        <v>1</v>
      </c>
      <c r="AD37" s="452">
        <v>15</v>
      </c>
      <c r="AE37" s="452">
        <v>15</v>
      </c>
      <c r="AF37" s="362">
        <f>+AE37/AD37</f>
        <v>1</v>
      </c>
      <c r="AG37" s="452">
        <v>21</v>
      </c>
      <c r="AH37" s="452">
        <v>21</v>
      </c>
      <c r="AI37" s="362">
        <f>+AH37/AG37</f>
        <v>1</v>
      </c>
      <c r="AJ37" s="452">
        <v>13</v>
      </c>
      <c r="AK37" s="452">
        <v>13</v>
      </c>
      <c r="AL37" s="362">
        <f>+AK37/AJ37</f>
        <v>1</v>
      </c>
      <c r="AM37" s="452">
        <v>13</v>
      </c>
      <c r="AN37" s="452">
        <v>13</v>
      </c>
      <c r="AO37" s="362">
        <f>+AN37/AM37</f>
        <v>1</v>
      </c>
      <c r="AP37" s="452">
        <f>13+11</f>
        <v>24</v>
      </c>
      <c r="AQ37" s="452">
        <v>25</v>
      </c>
      <c r="AR37" s="362">
        <f>+AQ37/AP37</f>
        <v>1.042</v>
      </c>
      <c r="AS37" s="452">
        <f t="shared" si="4"/>
        <v>212</v>
      </c>
      <c r="AT37" s="452">
        <f t="shared" si="4"/>
        <v>214.5</v>
      </c>
      <c r="AU37" s="362">
        <f>+AT37/AS37</f>
        <v>1.012</v>
      </c>
      <c r="AV37" s="329"/>
    </row>
    <row r="38" ht="13.5" thickTop="1"/>
  </sheetData>
  <sheetProtection/>
  <mergeCells count="22">
    <mergeCell ref="AD1:AF2"/>
    <mergeCell ref="AJ1:AL2"/>
    <mergeCell ref="AM1:AO2"/>
    <mergeCell ref="AS1:AU2"/>
    <mergeCell ref="AG1:AI1"/>
    <mergeCell ref="AG2:AI2"/>
    <mergeCell ref="AP1:AR1"/>
    <mergeCell ref="AP2:AR2"/>
    <mergeCell ref="A3:B3"/>
    <mergeCell ref="L1:N2"/>
    <mergeCell ref="C1:E2"/>
    <mergeCell ref="F1:H2"/>
    <mergeCell ref="A1:B2"/>
    <mergeCell ref="I1:K1"/>
    <mergeCell ref="I2:K2"/>
    <mergeCell ref="O1:Q1"/>
    <mergeCell ref="O2:Q2"/>
    <mergeCell ref="AA1:AC2"/>
    <mergeCell ref="R1:T2"/>
    <mergeCell ref="U1:W2"/>
    <mergeCell ref="X1:Z1"/>
    <mergeCell ref="X2:Z2"/>
  </mergeCells>
  <printOptions horizontalCentered="1" verticalCentered="1"/>
  <pageMargins left="0.7874015748031497" right="0.7874015748031497" top="1.1811023622047245" bottom="0.984251968503937" header="0.5118110236220472" footer="0.5118110236220472"/>
  <pageSetup horizontalDpi="300" verticalDpi="300" orientation="landscape" paperSize="9" scale="83" r:id="rId1"/>
  <headerFooter alignWithMargins="0">
    <oddHeader>&amp;C&amp;"Times New Roman,Félkövér"A  9/2012. (II. 24.) önkormányzati rendelethez 
a Budapest Főváros IV. kerület Újpest Önkormányzat Gazdasági Intézményhez tartozó óvodák bevételeiről és kiadásairól&amp;R
&amp;"Times New Roman,Normál"2.a./1. sz. melléklet
eFt-ban</oddHeader>
    <oddFooter>&amp;C&amp;"Times New Roman,Normál"&amp;P</oddFooter>
  </headerFooter>
  <colBreaks count="4" manualBreakCount="4">
    <brk id="11" max="36" man="1"/>
    <brk id="20" max="36" man="1"/>
    <brk id="29" max="36" man="1"/>
    <brk id="3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pane xSplit="5145" topLeftCell="AY1" activePane="topLeft" state="split"/>
      <selection pane="topLeft" activeCell="A3" sqref="A3:B3"/>
      <selection pane="topRight" activeCell="BB1" sqref="A1:BD2"/>
    </sheetView>
  </sheetViews>
  <sheetFormatPr defaultColWidth="9.140625" defaultRowHeight="12.75"/>
  <cols>
    <col min="1" max="1" width="7.8515625" style="1" customWidth="1"/>
    <col min="2" max="2" width="37.421875" style="1" customWidth="1"/>
    <col min="3" max="4" width="12.7109375" style="1" customWidth="1"/>
    <col min="5" max="5" width="10.57421875" style="1" customWidth="1"/>
    <col min="6" max="6" width="12.7109375" style="1" customWidth="1"/>
    <col min="7" max="7" width="12.57421875" style="1" customWidth="1"/>
    <col min="8" max="8" width="10.57421875" style="1" customWidth="1"/>
    <col min="9" max="10" width="12.7109375" style="1" customWidth="1"/>
    <col min="11" max="11" width="10.57421875" style="1" customWidth="1"/>
    <col min="12" max="13" width="12.7109375" style="1" customWidth="1"/>
    <col min="14" max="14" width="10.57421875" style="1" customWidth="1"/>
    <col min="15" max="16" width="12.7109375" style="1" customWidth="1"/>
    <col min="17" max="17" width="10.57421875" style="1" customWidth="1"/>
    <col min="18" max="19" width="12.7109375" style="1" customWidth="1"/>
    <col min="20" max="20" width="10.57421875" style="1" customWidth="1"/>
    <col min="21" max="22" width="12.7109375" style="1" customWidth="1"/>
    <col min="23" max="23" width="10.57421875" style="1" customWidth="1"/>
    <col min="24" max="25" width="12.7109375" style="1" customWidth="1"/>
    <col min="26" max="26" width="10.57421875" style="1" customWidth="1"/>
    <col min="27" max="28" width="12.7109375" style="1" customWidth="1"/>
    <col min="29" max="29" width="10.57421875" style="1" customWidth="1"/>
    <col min="30" max="31" width="12.7109375" style="1" customWidth="1"/>
    <col min="32" max="32" width="10.57421875" style="1" customWidth="1"/>
    <col min="33" max="34" width="12.7109375" style="1" customWidth="1"/>
    <col min="35" max="36" width="10.57421875" style="1" customWidth="1"/>
    <col min="37" max="37" width="11.421875" style="1" bestFit="1" customWidth="1"/>
    <col min="38" max="39" width="10.57421875" style="1" customWidth="1"/>
    <col min="40" max="40" width="11.421875" style="1" bestFit="1" customWidth="1"/>
    <col min="41" max="42" width="10.57421875" style="1" customWidth="1"/>
    <col min="43" max="43" width="11.421875" style="1" bestFit="1" customWidth="1"/>
    <col min="44" max="45" width="10.57421875" style="1" customWidth="1"/>
    <col min="46" max="46" width="11.421875" style="1" bestFit="1" customWidth="1"/>
    <col min="47" max="48" width="10.57421875" style="1" customWidth="1"/>
    <col min="49" max="49" width="11.421875" style="1" bestFit="1" customWidth="1"/>
    <col min="50" max="51" width="10.57421875" style="1" customWidth="1"/>
    <col min="52" max="52" width="11.421875" style="1" bestFit="1" customWidth="1"/>
    <col min="53" max="53" width="10.57421875" style="1" customWidth="1"/>
    <col min="54" max="55" width="12.7109375" style="1" customWidth="1"/>
    <col min="56" max="56" width="10.57421875" style="1" customWidth="1"/>
    <col min="57" max="16384" width="9.140625" style="1" customWidth="1"/>
  </cols>
  <sheetData>
    <row r="1" spans="1:56" s="38" customFormat="1" ht="14.25" customHeight="1">
      <c r="A1" s="717" t="s">
        <v>325</v>
      </c>
      <c r="B1" s="717"/>
      <c r="C1" s="716" t="s">
        <v>275</v>
      </c>
      <c r="D1" s="717"/>
      <c r="E1" s="717"/>
      <c r="F1" s="716" t="s">
        <v>80</v>
      </c>
      <c r="G1" s="717"/>
      <c r="H1" s="717"/>
      <c r="I1" s="716" t="s">
        <v>79</v>
      </c>
      <c r="J1" s="717"/>
      <c r="K1" s="717"/>
      <c r="L1" s="716" t="s">
        <v>276</v>
      </c>
      <c r="M1" s="717"/>
      <c r="N1" s="717"/>
      <c r="O1" s="716" t="s">
        <v>277</v>
      </c>
      <c r="P1" s="717"/>
      <c r="Q1" s="717"/>
      <c r="R1" s="716" t="s">
        <v>81</v>
      </c>
      <c r="S1" s="717"/>
      <c r="T1" s="717"/>
      <c r="U1" s="716" t="s">
        <v>278</v>
      </c>
      <c r="V1" s="717"/>
      <c r="W1" s="717"/>
      <c r="X1" s="716" t="s">
        <v>279</v>
      </c>
      <c r="Y1" s="717"/>
      <c r="Z1" s="717"/>
      <c r="AA1" s="716" t="s">
        <v>82</v>
      </c>
      <c r="AB1" s="717"/>
      <c r="AC1" s="717"/>
      <c r="AD1" s="716" t="s">
        <v>280</v>
      </c>
      <c r="AE1" s="717"/>
      <c r="AF1" s="717"/>
      <c r="AG1" s="716" t="s">
        <v>83</v>
      </c>
      <c r="AH1" s="717"/>
      <c r="AI1" s="717"/>
      <c r="AJ1" s="716" t="s">
        <v>283</v>
      </c>
      <c r="AK1" s="717"/>
      <c r="AL1" s="717"/>
      <c r="AM1" s="716" t="s">
        <v>76</v>
      </c>
      <c r="AN1" s="717"/>
      <c r="AO1" s="717"/>
      <c r="AP1" s="716" t="s">
        <v>77</v>
      </c>
      <c r="AQ1" s="717"/>
      <c r="AR1" s="717"/>
      <c r="AS1" s="716" t="s">
        <v>284</v>
      </c>
      <c r="AT1" s="717"/>
      <c r="AU1" s="717"/>
      <c r="AV1" s="716" t="s">
        <v>285</v>
      </c>
      <c r="AW1" s="717"/>
      <c r="AX1" s="717"/>
      <c r="AY1" s="716" t="s">
        <v>281</v>
      </c>
      <c r="AZ1" s="717"/>
      <c r="BA1" s="717"/>
      <c r="BB1" s="716" t="s">
        <v>71</v>
      </c>
      <c r="BC1" s="717"/>
      <c r="BD1" s="717"/>
    </row>
    <row r="2" spans="1:56" s="39" customFormat="1" ht="12.75">
      <c r="A2" s="703"/>
      <c r="B2" s="703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</row>
    <row r="3" spans="1:56" s="39" customFormat="1" ht="26.25" thickBot="1">
      <c r="A3" s="705" t="s">
        <v>72</v>
      </c>
      <c r="B3" s="705"/>
      <c r="C3" s="346" t="s">
        <v>316</v>
      </c>
      <c r="D3" s="332" t="s">
        <v>318</v>
      </c>
      <c r="E3" s="345" t="s">
        <v>35</v>
      </c>
      <c r="F3" s="346" t="s">
        <v>316</v>
      </c>
      <c r="G3" s="332" t="s">
        <v>318</v>
      </c>
      <c r="H3" s="345" t="s">
        <v>35</v>
      </c>
      <c r="I3" s="346" t="s">
        <v>316</v>
      </c>
      <c r="J3" s="332" t="s">
        <v>318</v>
      </c>
      <c r="K3" s="345" t="s">
        <v>35</v>
      </c>
      <c r="L3" s="346" t="s">
        <v>316</v>
      </c>
      <c r="M3" s="332" t="s">
        <v>318</v>
      </c>
      <c r="N3" s="345" t="s">
        <v>35</v>
      </c>
      <c r="O3" s="346" t="s">
        <v>316</v>
      </c>
      <c r="P3" s="332" t="s">
        <v>318</v>
      </c>
      <c r="Q3" s="345" t="s">
        <v>35</v>
      </c>
      <c r="R3" s="346" t="s">
        <v>316</v>
      </c>
      <c r="S3" s="332" t="s">
        <v>318</v>
      </c>
      <c r="T3" s="345" t="s">
        <v>35</v>
      </c>
      <c r="U3" s="346" t="s">
        <v>316</v>
      </c>
      <c r="V3" s="332" t="s">
        <v>318</v>
      </c>
      <c r="W3" s="345" t="s">
        <v>35</v>
      </c>
      <c r="X3" s="346" t="s">
        <v>316</v>
      </c>
      <c r="Y3" s="332" t="s">
        <v>318</v>
      </c>
      <c r="Z3" s="345" t="s">
        <v>35</v>
      </c>
      <c r="AA3" s="346" t="s">
        <v>316</v>
      </c>
      <c r="AB3" s="332" t="s">
        <v>318</v>
      </c>
      <c r="AC3" s="345" t="s">
        <v>35</v>
      </c>
      <c r="AD3" s="335" t="s">
        <v>316</v>
      </c>
      <c r="AE3" s="332" t="s">
        <v>318</v>
      </c>
      <c r="AF3" s="345" t="s">
        <v>35</v>
      </c>
      <c r="AG3" s="335" t="s">
        <v>316</v>
      </c>
      <c r="AH3" s="332" t="s">
        <v>318</v>
      </c>
      <c r="AI3" s="345" t="s">
        <v>35</v>
      </c>
      <c r="AJ3" s="335" t="s">
        <v>316</v>
      </c>
      <c r="AK3" s="332" t="s">
        <v>318</v>
      </c>
      <c r="AL3" s="345" t="s">
        <v>35</v>
      </c>
      <c r="AM3" s="346" t="s">
        <v>316</v>
      </c>
      <c r="AN3" s="332" t="s">
        <v>318</v>
      </c>
      <c r="AO3" s="345" t="s">
        <v>35</v>
      </c>
      <c r="AP3" s="346" t="s">
        <v>316</v>
      </c>
      <c r="AQ3" s="332" t="s">
        <v>318</v>
      </c>
      <c r="AR3" s="345" t="s">
        <v>35</v>
      </c>
      <c r="AS3" s="346" t="s">
        <v>316</v>
      </c>
      <c r="AT3" s="332" t="s">
        <v>318</v>
      </c>
      <c r="AU3" s="345" t="s">
        <v>35</v>
      </c>
      <c r="AV3" s="346" t="s">
        <v>316</v>
      </c>
      <c r="AW3" s="332" t="s">
        <v>318</v>
      </c>
      <c r="AX3" s="345" t="s">
        <v>35</v>
      </c>
      <c r="AY3" s="346" t="s">
        <v>316</v>
      </c>
      <c r="AZ3" s="332" t="s">
        <v>318</v>
      </c>
      <c r="BA3" s="345" t="s">
        <v>35</v>
      </c>
      <c r="BB3" s="346" t="s">
        <v>316</v>
      </c>
      <c r="BC3" s="332" t="s">
        <v>318</v>
      </c>
      <c r="BD3" s="345" t="s">
        <v>35</v>
      </c>
    </row>
    <row r="4" spans="1:56" ht="12.75">
      <c r="A4" s="322" t="s">
        <v>37</v>
      </c>
      <c r="B4" s="427"/>
      <c r="C4" s="520"/>
      <c r="D4" s="508"/>
      <c r="E4" s="509"/>
      <c r="F4" s="520"/>
      <c r="G4" s="508"/>
      <c r="H4" s="509"/>
      <c r="I4" s="520"/>
      <c r="J4" s="508"/>
      <c r="K4" s="509"/>
      <c r="L4" s="520"/>
      <c r="M4" s="508"/>
      <c r="N4" s="509"/>
      <c r="O4" s="520"/>
      <c r="P4" s="508"/>
      <c r="Q4" s="509"/>
      <c r="R4" s="520"/>
      <c r="S4" s="508"/>
      <c r="T4" s="509"/>
      <c r="U4" s="520"/>
      <c r="V4" s="508"/>
      <c r="W4" s="509"/>
      <c r="X4" s="520"/>
      <c r="Y4" s="508"/>
      <c r="Z4" s="509"/>
      <c r="AA4" s="520"/>
      <c r="AB4" s="508"/>
      <c r="AC4" s="509"/>
      <c r="AD4" s="520"/>
      <c r="AE4" s="508"/>
      <c r="AF4" s="509"/>
      <c r="AG4" s="507"/>
      <c r="AH4" s="508"/>
      <c r="AI4" s="509"/>
      <c r="AJ4" s="507"/>
      <c r="AK4" s="508"/>
      <c r="AL4" s="509"/>
      <c r="AM4" s="520"/>
      <c r="AN4" s="508"/>
      <c r="AO4" s="509"/>
      <c r="AP4" s="520"/>
      <c r="AQ4" s="508"/>
      <c r="AR4" s="509"/>
      <c r="AS4" s="520"/>
      <c r="AT4" s="508"/>
      <c r="AU4" s="509"/>
      <c r="AV4" s="520"/>
      <c r="AW4" s="508"/>
      <c r="AX4" s="509"/>
      <c r="AY4" s="520"/>
      <c r="AZ4" s="508"/>
      <c r="BA4" s="509"/>
      <c r="BB4" s="520"/>
      <c r="BC4" s="508"/>
      <c r="BD4" s="509"/>
    </row>
    <row r="5" spans="1:56" s="87" customFormat="1" ht="12.75">
      <c r="A5" s="438" t="s">
        <v>38</v>
      </c>
      <c r="B5" s="439" t="s">
        <v>39</v>
      </c>
      <c r="C5" s="355">
        <f>SUM(C6:C8)</f>
        <v>0</v>
      </c>
      <c r="D5" s="331">
        <f>SUM(D6:D8)</f>
        <v>8</v>
      </c>
      <c r="E5" s="367"/>
      <c r="F5" s="355">
        <f>SUM(F6:F8)</f>
        <v>1000</v>
      </c>
      <c r="G5" s="331">
        <f>SUM(G6:G8)</f>
        <v>1260</v>
      </c>
      <c r="H5" s="367">
        <f>+G5/F5</f>
        <v>1.26</v>
      </c>
      <c r="I5" s="355">
        <f>SUM(I6:I8)</f>
        <v>1500</v>
      </c>
      <c r="J5" s="331">
        <f>SUM(J6:J8)</f>
        <v>1417</v>
      </c>
      <c r="K5" s="367">
        <f>+J5/I5</f>
        <v>0.945</v>
      </c>
      <c r="L5" s="355">
        <f>SUM(L6:L8)</f>
        <v>2500</v>
      </c>
      <c r="M5" s="331">
        <f>SUM(M6:M8)</f>
        <v>2520</v>
      </c>
      <c r="N5" s="367">
        <f>+M5/L5</f>
        <v>1.008</v>
      </c>
      <c r="O5" s="355">
        <f>SUM(O6:O8)</f>
        <v>800</v>
      </c>
      <c r="P5" s="331">
        <f>SUM(P6:P8)</f>
        <v>1339</v>
      </c>
      <c r="Q5" s="367">
        <f>+P5/O5</f>
        <v>1.674</v>
      </c>
      <c r="R5" s="355">
        <f>SUM(R6:R8)</f>
        <v>2500</v>
      </c>
      <c r="S5" s="331">
        <f>SUM(S6:S8)</f>
        <v>2598</v>
      </c>
      <c r="T5" s="367">
        <f>+S5/R5</f>
        <v>1.039</v>
      </c>
      <c r="U5" s="355">
        <f>SUM(U6:U8)</f>
        <v>2000</v>
      </c>
      <c r="V5" s="331">
        <f>SUM(V6:V8)</f>
        <v>2047</v>
      </c>
      <c r="W5" s="367">
        <f>+V5/U5</f>
        <v>1.024</v>
      </c>
      <c r="X5" s="355">
        <f>SUM(X6:X8)</f>
        <v>1600</v>
      </c>
      <c r="Y5" s="331">
        <f>SUM(Y6:Y8)</f>
        <v>1654</v>
      </c>
      <c r="Z5" s="367">
        <f>+Y5/X5</f>
        <v>1.034</v>
      </c>
      <c r="AA5" s="355">
        <f>SUM(AA6:AA8)</f>
        <v>800</v>
      </c>
      <c r="AB5" s="331">
        <f>SUM(AB6:AB8)</f>
        <v>800</v>
      </c>
      <c r="AC5" s="367">
        <f>+AB5/AA5</f>
        <v>1</v>
      </c>
      <c r="AD5" s="355">
        <f>SUM(AD6:AD8)</f>
        <v>2000</v>
      </c>
      <c r="AE5" s="331">
        <f>SUM(AE6:AE8)</f>
        <v>2520</v>
      </c>
      <c r="AF5" s="367">
        <f>+AE5/AD5</f>
        <v>1.26</v>
      </c>
      <c r="AG5" s="365">
        <f>SUM(AG6:AG8)</f>
        <v>5000</v>
      </c>
      <c r="AH5" s="331">
        <f>SUM(AH6:AH8)</f>
        <v>5039</v>
      </c>
      <c r="AI5" s="367">
        <f>+AH5/AG5</f>
        <v>1.008</v>
      </c>
      <c r="AJ5" s="365">
        <f>SUM(AJ6:AJ8)</f>
        <v>2000</v>
      </c>
      <c r="AK5" s="331">
        <f>SUM(AK6:AK8)</f>
        <v>1417</v>
      </c>
      <c r="AL5" s="367">
        <f>+AK5/AJ5</f>
        <v>0.709</v>
      </c>
      <c r="AM5" s="355">
        <f>SUM(AM6:AM8)</f>
        <v>3000</v>
      </c>
      <c r="AN5" s="331">
        <f>SUM(AN6:AN8)</f>
        <v>2677</v>
      </c>
      <c r="AO5" s="367">
        <f>+AN5/AM5</f>
        <v>0.892</v>
      </c>
      <c r="AP5" s="355">
        <f>SUM(AP6:AP8)</f>
        <v>2000</v>
      </c>
      <c r="AQ5" s="331">
        <f>SUM(AQ6:AQ8)</f>
        <v>2598</v>
      </c>
      <c r="AR5" s="367">
        <f>+AQ5/AP5</f>
        <v>1.299</v>
      </c>
      <c r="AS5" s="355">
        <f>SUM(AS6:AS8)</f>
        <v>6000</v>
      </c>
      <c r="AT5" s="331">
        <f>SUM(AT6:AT8)</f>
        <v>5512</v>
      </c>
      <c r="AU5" s="367">
        <f>+AT5/AS5</f>
        <v>0.919</v>
      </c>
      <c r="AV5" s="355">
        <f>SUM(AV6:AV8)</f>
        <v>3500</v>
      </c>
      <c r="AW5" s="331">
        <f>SUM(AW6:AW8)</f>
        <v>3500</v>
      </c>
      <c r="AX5" s="367">
        <f>+AW5/AV5</f>
        <v>1</v>
      </c>
      <c r="AY5" s="355">
        <f>SUM(AY6:AY8)</f>
        <v>18000</v>
      </c>
      <c r="AZ5" s="331">
        <f>SUM(AZ6:AZ8)</f>
        <v>17400</v>
      </c>
      <c r="BA5" s="367">
        <f>+AZ5/AY5</f>
        <v>0.967</v>
      </c>
      <c r="BB5" s="355">
        <f>SUM(BB6:BB8)</f>
        <v>54200</v>
      </c>
      <c r="BC5" s="355">
        <f>SUM(BC6:BC8)</f>
        <v>54306</v>
      </c>
      <c r="BD5" s="367">
        <f>++BC5/BB5</f>
        <v>1.002</v>
      </c>
    </row>
    <row r="6" spans="1:56" ht="12.75">
      <c r="A6" s="440"/>
      <c r="B6" s="441" t="s">
        <v>40</v>
      </c>
      <c r="C6" s="323"/>
      <c r="D6" s="318">
        <f>10/1.27</f>
        <v>8</v>
      </c>
      <c r="E6" s="326"/>
      <c r="F6" s="323">
        <v>1000</v>
      </c>
      <c r="G6" s="318">
        <f>1600/1.27</f>
        <v>1260</v>
      </c>
      <c r="H6" s="326">
        <f>+G6/F6</f>
        <v>1.26</v>
      </c>
      <c r="I6" s="323">
        <v>1500</v>
      </c>
      <c r="J6" s="318">
        <f>1800/1.27</f>
        <v>1417</v>
      </c>
      <c r="K6" s="326">
        <f>+J6/I6</f>
        <v>0.945</v>
      </c>
      <c r="L6" s="323">
        <v>2500</v>
      </c>
      <c r="M6" s="318">
        <f>3200/1.27</f>
        <v>2520</v>
      </c>
      <c r="N6" s="326">
        <f>+M6/L6</f>
        <v>1.008</v>
      </c>
      <c r="O6" s="323">
        <v>800</v>
      </c>
      <c r="P6" s="318">
        <f>1700/1.27</f>
        <v>1339</v>
      </c>
      <c r="Q6" s="326">
        <f>+P6/O6</f>
        <v>1.674</v>
      </c>
      <c r="R6" s="323">
        <v>2500</v>
      </c>
      <c r="S6" s="318">
        <f>3300/1.27</f>
        <v>2598</v>
      </c>
      <c r="T6" s="326">
        <f>+S6/R6</f>
        <v>1.039</v>
      </c>
      <c r="U6" s="323">
        <v>2000</v>
      </c>
      <c r="V6" s="318">
        <f>2600/1.27</f>
        <v>2047</v>
      </c>
      <c r="W6" s="326">
        <f>+V6/U6</f>
        <v>1.024</v>
      </c>
      <c r="X6" s="323">
        <v>1600</v>
      </c>
      <c r="Y6" s="318">
        <f>2100/1.27</f>
        <v>1654</v>
      </c>
      <c r="Z6" s="326">
        <f>+Y6/X6</f>
        <v>1.034</v>
      </c>
      <c r="AA6" s="323">
        <v>800</v>
      </c>
      <c r="AB6" s="318">
        <f>1016/1.27</f>
        <v>800</v>
      </c>
      <c r="AC6" s="326">
        <f>+AB6/AA6</f>
        <v>1</v>
      </c>
      <c r="AD6" s="323">
        <v>2000</v>
      </c>
      <c r="AE6" s="318">
        <f>3200/1.27</f>
        <v>2520</v>
      </c>
      <c r="AF6" s="326">
        <f>+AE6/AD6</f>
        <v>1.26</v>
      </c>
      <c r="AG6" s="338">
        <v>5000</v>
      </c>
      <c r="AH6" s="318">
        <f>6400/1.27</f>
        <v>5039</v>
      </c>
      <c r="AI6" s="326">
        <f>+AH6/AG6</f>
        <v>1.008</v>
      </c>
      <c r="AJ6" s="338">
        <v>2000</v>
      </c>
      <c r="AK6" s="318">
        <f>1800/1.27</f>
        <v>1417</v>
      </c>
      <c r="AL6" s="326">
        <f>+AK6/AJ6</f>
        <v>0.709</v>
      </c>
      <c r="AM6" s="323">
        <v>3000</v>
      </c>
      <c r="AN6" s="318">
        <f>3400/1.27</f>
        <v>2677</v>
      </c>
      <c r="AO6" s="326">
        <f>+AN6/AM6</f>
        <v>0.892</v>
      </c>
      <c r="AP6" s="323">
        <v>2000</v>
      </c>
      <c r="AQ6" s="318">
        <v>2598</v>
      </c>
      <c r="AR6" s="326">
        <f>+AQ6/AP6</f>
        <v>1.299</v>
      </c>
      <c r="AS6" s="323">
        <v>6000</v>
      </c>
      <c r="AT6" s="318">
        <f>7000/1.27</f>
        <v>5512</v>
      </c>
      <c r="AU6" s="326">
        <f>+AT6/AS6</f>
        <v>0.919</v>
      </c>
      <c r="AV6" s="323">
        <v>3500</v>
      </c>
      <c r="AW6" s="318">
        <f>4445/1.27</f>
        <v>3500</v>
      </c>
      <c r="AX6" s="326">
        <f>+AW6/AV6</f>
        <v>1</v>
      </c>
      <c r="AY6" s="323">
        <v>18000</v>
      </c>
      <c r="AZ6" s="318">
        <v>17400</v>
      </c>
      <c r="BA6" s="326">
        <f>+AZ6/AY6</f>
        <v>0.967</v>
      </c>
      <c r="BB6" s="323">
        <f>SUM(C6,F6,I6,L6,O6,R6,U6,AG6,AD6,AA6,X6)+AJ6+AM6+AP6+AS6+AV6+AY6</f>
        <v>54200</v>
      </c>
      <c r="BC6" s="338">
        <f>SUM(D6,G6,J6,M6,P6,S6,V6,AH6,AE6,AB6,Y6)+AK6+AN6+AQ6+AT6+AW6+AZ6</f>
        <v>54306</v>
      </c>
      <c r="BD6" s="326">
        <f>++BC6/BB6</f>
        <v>1.002</v>
      </c>
    </row>
    <row r="7" spans="1:56" ht="12.75">
      <c r="A7" s="440"/>
      <c r="B7" s="441" t="s">
        <v>41</v>
      </c>
      <c r="C7" s="323"/>
      <c r="D7" s="318"/>
      <c r="E7" s="324"/>
      <c r="F7" s="323"/>
      <c r="G7" s="318"/>
      <c r="H7" s="324"/>
      <c r="I7" s="323"/>
      <c r="J7" s="318"/>
      <c r="K7" s="324"/>
      <c r="L7" s="323"/>
      <c r="M7" s="318"/>
      <c r="N7" s="324"/>
      <c r="O7" s="323"/>
      <c r="P7" s="318"/>
      <c r="Q7" s="324"/>
      <c r="R7" s="323"/>
      <c r="S7" s="318"/>
      <c r="T7" s="324"/>
      <c r="U7" s="323"/>
      <c r="V7" s="318"/>
      <c r="W7" s="324"/>
      <c r="X7" s="323"/>
      <c r="Y7" s="318"/>
      <c r="Z7" s="324"/>
      <c r="AA7" s="323"/>
      <c r="AB7" s="318"/>
      <c r="AC7" s="324"/>
      <c r="AD7" s="323"/>
      <c r="AE7" s="318"/>
      <c r="AF7" s="324"/>
      <c r="AG7" s="338"/>
      <c r="AH7" s="318"/>
      <c r="AI7" s="324"/>
      <c r="AJ7" s="338"/>
      <c r="AK7" s="318"/>
      <c r="AL7" s="324"/>
      <c r="AM7" s="323"/>
      <c r="AN7" s="318"/>
      <c r="AO7" s="324"/>
      <c r="AP7" s="323"/>
      <c r="AQ7" s="318"/>
      <c r="AR7" s="324"/>
      <c r="AS7" s="323"/>
      <c r="AT7" s="318"/>
      <c r="AU7" s="324"/>
      <c r="AV7" s="323"/>
      <c r="AW7" s="318"/>
      <c r="AX7" s="324"/>
      <c r="AY7" s="323"/>
      <c r="AZ7" s="318"/>
      <c r="BA7" s="324"/>
      <c r="BB7" s="323">
        <f aca="true" t="shared" si="0" ref="BB7:BB19">SUM(C7,F7,I7,L7,O7,R7,U7,AG7,AD7,AA7,X7)+AJ7+AM7+AP7+AS7+AV7+AY7</f>
        <v>0</v>
      </c>
      <c r="BC7" s="338">
        <f>SUM(D7,G7,J7,M7,P7,S7,V7,AH7,AE7,AB7,Y7)+AK7+AN7+AQ7+AT7+AW7+AZ7</f>
        <v>0</v>
      </c>
      <c r="BD7" s="324"/>
    </row>
    <row r="8" spans="1:56" ht="12.75">
      <c r="A8" s="440"/>
      <c r="B8" s="441" t="s">
        <v>42</v>
      </c>
      <c r="C8" s="323"/>
      <c r="D8" s="318"/>
      <c r="E8" s="324"/>
      <c r="F8" s="323"/>
      <c r="G8" s="318"/>
      <c r="H8" s="324"/>
      <c r="I8" s="323"/>
      <c r="J8" s="318"/>
      <c r="K8" s="324"/>
      <c r="L8" s="323"/>
      <c r="M8" s="318"/>
      <c r="N8" s="324"/>
      <c r="O8" s="323"/>
      <c r="P8" s="318"/>
      <c r="Q8" s="324"/>
      <c r="R8" s="323"/>
      <c r="S8" s="318"/>
      <c r="T8" s="324"/>
      <c r="U8" s="323"/>
      <c r="V8" s="318"/>
      <c r="W8" s="324"/>
      <c r="X8" s="323"/>
      <c r="Y8" s="318"/>
      <c r="Z8" s="324"/>
      <c r="AA8" s="323"/>
      <c r="AB8" s="318"/>
      <c r="AC8" s="324"/>
      <c r="AD8" s="323"/>
      <c r="AE8" s="318"/>
      <c r="AF8" s="324"/>
      <c r="AG8" s="338"/>
      <c r="AH8" s="318"/>
      <c r="AI8" s="324"/>
      <c r="AJ8" s="338"/>
      <c r="AK8" s="318"/>
      <c r="AL8" s="324"/>
      <c r="AM8" s="323"/>
      <c r="AN8" s="318"/>
      <c r="AO8" s="324"/>
      <c r="AP8" s="323"/>
      <c r="AQ8" s="318"/>
      <c r="AR8" s="324"/>
      <c r="AS8" s="323"/>
      <c r="AT8" s="318"/>
      <c r="AU8" s="324"/>
      <c r="AV8" s="323"/>
      <c r="AW8" s="318"/>
      <c r="AX8" s="324"/>
      <c r="AY8" s="323"/>
      <c r="AZ8" s="318"/>
      <c r="BA8" s="324"/>
      <c r="BB8" s="323">
        <f t="shared" si="0"/>
        <v>0</v>
      </c>
      <c r="BC8" s="338">
        <f aca="true" t="shared" si="1" ref="BC8:BC19">SUM(D8,G8,J8,M8,P8,S8,V8,AH8,AE8,AB8,Y8)+AK8+AN8+AQ8+AT8+AW8+AZ8</f>
        <v>0</v>
      </c>
      <c r="BD8" s="324"/>
    </row>
    <row r="9" spans="1:56" ht="12.75">
      <c r="A9" s="440" t="s">
        <v>43</v>
      </c>
      <c r="B9" s="441" t="s">
        <v>44</v>
      </c>
      <c r="C9" s="325"/>
      <c r="D9" s="319"/>
      <c r="E9" s="324"/>
      <c r="F9" s="325"/>
      <c r="G9" s="319"/>
      <c r="H9" s="324"/>
      <c r="I9" s="325"/>
      <c r="J9" s="319"/>
      <c r="K9" s="324"/>
      <c r="L9" s="325"/>
      <c r="M9" s="319"/>
      <c r="N9" s="324"/>
      <c r="O9" s="325"/>
      <c r="P9" s="319"/>
      <c r="Q9" s="324"/>
      <c r="R9" s="325"/>
      <c r="S9" s="319"/>
      <c r="T9" s="324"/>
      <c r="U9" s="325"/>
      <c r="V9" s="319"/>
      <c r="W9" s="324"/>
      <c r="X9" s="325"/>
      <c r="Y9" s="319"/>
      <c r="Z9" s="324"/>
      <c r="AA9" s="325"/>
      <c r="AB9" s="319"/>
      <c r="AC9" s="324"/>
      <c r="AD9" s="325"/>
      <c r="AE9" s="319"/>
      <c r="AF9" s="324"/>
      <c r="AG9" s="337"/>
      <c r="AH9" s="319"/>
      <c r="AI9" s="324"/>
      <c r="AJ9" s="337"/>
      <c r="AK9" s="319"/>
      <c r="AL9" s="324"/>
      <c r="AM9" s="325"/>
      <c r="AN9" s="319"/>
      <c r="AO9" s="324"/>
      <c r="AP9" s="325"/>
      <c r="AQ9" s="319"/>
      <c r="AR9" s="324"/>
      <c r="AS9" s="325"/>
      <c r="AT9" s="319"/>
      <c r="AU9" s="324"/>
      <c r="AV9" s="325"/>
      <c r="AW9" s="319"/>
      <c r="AX9" s="324"/>
      <c r="AY9" s="325"/>
      <c r="AZ9" s="319"/>
      <c r="BA9" s="324"/>
      <c r="BB9" s="323">
        <f t="shared" si="0"/>
        <v>0</v>
      </c>
      <c r="BC9" s="338">
        <f t="shared" si="1"/>
        <v>0</v>
      </c>
      <c r="BD9" s="324"/>
    </row>
    <row r="10" spans="1:56" ht="12.75">
      <c r="A10" s="440" t="s">
        <v>45</v>
      </c>
      <c r="B10" s="441" t="s">
        <v>46</v>
      </c>
      <c r="C10" s="325"/>
      <c r="D10" s="319"/>
      <c r="E10" s="324"/>
      <c r="F10" s="325"/>
      <c r="G10" s="319"/>
      <c r="H10" s="324"/>
      <c r="I10" s="325"/>
      <c r="J10" s="319"/>
      <c r="K10" s="324"/>
      <c r="L10" s="325"/>
      <c r="M10" s="319"/>
      <c r="N10" s="324"/>
      <c r="O10" s="325"/>
      <c r="P10" s="319"/>
      <c r="Q10" s="324"/>
      <c r="R10" s="325"/>
      <c r="S10" s="319"/>
      <c r="T10" s="324"/>
      <c r="U10" s="325"/>
      <c r="V10" s="319"/>
      <c r="W10" s="324"/>
      <c r="X10" s="325"/>
      <c r="Y10" s="319"/>
      <c r="Z10" s="324"/>
      <c r="AA10" s="325"/>
      <c r="AB10" s="319"/>
      <c r="AC10" s="324"/>
      <c r="AD10" s="325"/>
      <c r="AE10" s="319"/>
      <c r="AF10" s="324"/>
      <c r="AG10" s="337"/>
      <c r="AH10" s="319"/>
      <c r="AI10" s="324"/>
      <c r="AJ10" s="337"/>
      <c r="AK10" s="319"/>
      <c r="AL10" s="324"/>
      <c r="AM10" s="325"/>
      <c r="AN10" s="319"/>
      <c r="AO10" s="324"/>
      <c r="AP10" s="325"/>
      <c r="AQ10" s="319"/>
      <c r="AR10" s="324"/>
      <c r="AS10" s="325"/>
      <c r="AT10" s="319"/>
      <c r="AU10" s="324"/>
      <c r="AV10" s="325"/>
      <c r="AW10" s="319"/>
      <c r="AX10" s="324"/>
      <c r="AY10" s="325"/>
      <c r="AZ10" s="319"/>
      <c r="BA10" s="324"/>
      <c r="BB10" s="323">
        <f t="shared" si="0"/>
        <v>0</v>
      </c>
      <c r="BC10" s="338">
        <f t="shared" si="1"/>
        <v>0</v>
      </c>
      <c r="BD10" s="324"/>
    </row>
    <row r="11" spans="1:56" ht="12.75">
      <c r="A11" s="440" t="s">
        <v>47</v>
      </c>
      <c r="B11" s="441" t="s">
        <v>48</v>
      </c>
      <c r="C11" s="325"/>
      <c r="D11" s="319"/>
      <c r="E11" s="324"/>
      <c r="F11" s="325"/>
      <c r="G11" s="319"/>
      <c r="H11" s="324"/>
      <c r="I11" s="325"/>
      <c r="J11" s="319"/>
      <c r="K11" s="324"/>
      <c r="L11" s="325"/>
      <c r="M11" s="319"/>
      <c r="N11" s="324"/>
      <c r="O11" s="325"/>
      <c r="P11" s="319"/>
      <c r="Q11" s="324"/>
      <c r="R11" s="325"/>
      <c r="S11" s="319"/>
      <c r="T11" s="324"/>
      <c r="U11" s="325"/>
      <c r="V11" s="319"/>
      <c r="W11" s="324"/>
      <c r="X11" s="325"/>
      <c r="Y11" s="319"/>
      <c r="Z11" s="324"/>
      <c r="AA11" s="325"/>
      <c r="AB11" s="319"/>
      <c r="AC11" s="324"/>
      <c r="AD11" s="325"/>
      <c r="AE11" s="319"/>
      <c r="AF11" s="324"/>
      <c r="AG11" s="337"/>
      <c r="AH11" s="319"/>
      <c r="AI11" s="324"/>
      <c r="AJ11" s="337"/>
      <c r="AK11" s="319"/>
      <c r="AL11" s="324"/>
      <c r="AM11" s="325"/>
      <c r="AN11" s="319"/>
      <c r="AO11" s="324"/>
      <c r="AP11" s="325"/>
      <c r="AQ11" s="319"/>
      <c r="AR11" s="324"/>
      <c r="AS11" s="325"/>
      <c r="AT11" s="319"/>
      <c r="AU11" s="324"/>
      <c r="AV11" s="325"/>
      <c r="AW11" s="319"/>
      <c r="AX11" s="324"/>
      <c r="AY11" s="325"/>
      <c r="AZ11" s="319"/>
      <c r="BA11" s="324"/>
      <c r="BB11" s="323">
        <f t="shared" si="0"/>
        <v>0</v>
      </c>
      <c r="BC11" s="338">
        <f t="shared" si="1"/>
        <v>0</v>
      </c>
      <c r="BD11" s="324"/>
    </row>
    <row r="12" spans="1:56" ht="12.75">
      <c r="A12" s="440" t="s">
        <v>36</v>
      </c>
      <c r="B12" s="441" t="s">
        <v>49</v>
      </c>
      <c r="C12" s="323"/>
      <c r="D12" s="318">
        <f>D6*0.27</f>
        <v>2</v>
      </c>
      <c r="E12" s="326"/>
      <c r="F12" s="323">
        <v>250</v>
      </c>
      <c r="G12" s="318">
        <f>G6*0.27</f>
        <v>340</v>
      </c>
      <c r="H12" s="326">
        <f>+G12/F12</f>
        <v>1.36</v>
      </c>
      <c r="I12" s="323">
        <v>375</v>
      </c>
      <c r="J12" s="318">
        <f>J6*0.27</f>
        <v>383</v>
      </c>
      <c r="K12" s="326">
        <f>+J12/I12</f>
        <v>1.021</v>
      </c>
      <c r="L12" s="323">
        <v>625</v>
      </c>
      <c r="M12" s="318">
        <f>M6*0.27</f>
        <v>680</v>
      </c>
      <c r="N12" s="326">
        <f>+M12/L12</f>
        <v>1.088</v>
      </c>
      <c r="O12" s="323">
        <v>200</v>
      </c>
      <c r="P12" s="318">
        <v>361</v>
      </c>
      <c r="Q12" s="326">
        <f>+P12/O12</f>
        <v>1.805</v>
      </c>
      <c r="R12" s="323">
        <v>625</v>
      </c>
      <c r="S12" s="318">
        <v>702</v>
      </c>
      <c r="T12" s="326">
        <f>+S12/R12</f>
        <v>1.123</v>
      </c>
      <c r="U12" s="323">
        <v>500</v>
      </c>
      <c r="V12" s="318">
        <f>V6*0.27</f>
        <v>553</v>
      </c>
      <c r="W12" s="326">
        <f>+V12/U12</f>
        <v>1.106</v>
      </c>
      <c r="X12" s="323">
        <v>400</v>
      </c>
      <c r="Y12" s="318">
        <f>Y6*0.27</f>
        <v>447</v>
      </c>
      <c r="Z12" s="326">
        <f>+Y12/X12</f>
        <v>1.118</v>
      </c>
      <c r="AA12" s="323">
        <v>200</v>
      </c>
      <c r="AB12" s="318">
        <f>AB6*0.27</f>
        <v>216</v>
      </c>
      <c r="AC12" s="326">
        <f>+AB12/AA12</f>
        <v>1.08</v>
      </c>
      <c r="AD12" s="323">
        <v>500</v>
      </c>
      <c r="AE12" s="318">
        <f>AE6*0.27</f>
        <v>680</v>
      </c>
      <c r="AF12" s="326">
        <f>+AE12/AD12</f>
        <v>1.36</v>
      </c>
      <c r="AG12" s="338">
        <v>1250</v>
      </c>
      <c r="AH12" s="318">
        <f>AH6*0.27</f>
        <v>1361</v>
      </c>
      <c r="AI12" s="326">
        <f>+AH12/AG12</f>
        <v>1.089</v>
      </c>
      <c r="AJ12" s="338">
        <v>500</v>
      </c>
      <c r="AK12" s="318">
        <f>AK6*0.27</f>
        <v>383</v>
      </c>
      <c r="AL12" s="326">
        <f>+AK12/AJ12</f>
        <v>0.766</v>
      </c>
      <c r="AM12" s="323">
        <v>700</v>
      </c>
      <c r="AN12" s="318">
        <f>AN6*0.27</f>
        <v>723</v>
      </c>
      <c r="AO12" s="326">
        <f>+AN12/AM12</f>
        <v>1.033</v>
      </c>
      <c r="AP12" s="323">
        <v>500</v>
      </c>
      <c r="AQ12" s="318">
        <v>702</v>
      </c>
      <c r="AR12" s="326">
        <f>+AQ12/AP12</f>
        <v>1.404</v>
      </c>
      <c r="AS12" s="323">
        <v>1500</v>
      </c>
      <c r="AT12" s="318">
        <f>AT6*0.27</f>
        <v>1488</v>
      </c>
      <c r="AU12" s="326">
        <f>+AT12/AS12</f>
        <v>0.992</v>
      </c>
      <c r="AV12" s="323">
        <v>875</v>
      </c>
      <c r="AW12" s="318">
        <f>AW6*0.27</f>
        <v>945</v>
      </c>
      <c r="AX12" s="326">
        <f>+AW12/AV12</f>
        <v>1.08</v>
      </c>
      <c r="AY12" s="323"/>
      <c r="AZ12" s="318"/>
      <c r="BA12" s="326"/>
      <c r="BB12" s="323">
        <f t="shared" si="0"/>
        <v>9000</v>
      </c>
      <c r="BC12" s="338">
        <f t="shared" si="1"/>
        <v>9966</v>
      </c>
      <c r="BD12" s="326">
        <f>++BC12/BB12</f>
        <v>1.107</v>
      </c>
    </row>
    <row r="13" spans="1:56" ht="12.75">
      <c r="A13" s="440" t="s">
        <v>50</v>
      </c>
      <c r="B13" s="441" t="s">
        <v>51</v>
      </c>
      <c r="C13" s="325"/>
      <c r="D13" s="319"/>
      <c r="E13" s="324"/>
      <c r="F13" s="325"/>
      <c r="G13" s="319"/>
      <c r="H13" s="324"/>
      <c r="I13" s="325"/>
      <c r="J13" s="319"/>
      <c r="K13" s="324"/>
      <c r="L13" s="325"/>
      <c r="M13" s="319"/>
      <c r="N13" s="324"/>
      <c r="O13" s="325"/>
      <c r="P13" s="319"/>
      <c r="Q13" s="324"/>
      <c r="R13" s="325"/>
      <c r="S13" s="319"/>
      <c r="T13" s="326"/>
      <c r="U13" s="325"/>
      <c r="V13" s="319"/>
      <c r="W13" s="326"/>
      <c r="X13" s="325"/>
      <c r="Y13" s="319"/>
      <c r="Z13" s="326"/>
      <c r="AA13" s="325"/>
      <c r="AB13" s="319"/>
      <c r="AC13" s="326"/>
      <c r="AD13" s="325"/>
      <c r="AE13" s="319"/>
      <c r="AF13" s="326"/>
      <c r="AG13" s="337"/>
      <c r="AH13" s="319"/>
      <c r="AI13" s="326"/>
      <c r="AJ13" s="337"/>
      <c r="AK13" s="319"/>
      <c r="AL13" s="326"/>
      <c r="AM13" s="325"/>
      <c r="AN13" s="319"/>
      <c r="AO13" s="326"/>
      <c r="AP13" s="325"/>
      <c r="AQ13" s="319"/>
      <c r="AR13" s="326"/>
      <c r="AS13" s="325"/>
      <c r="AT13" s="319"/>
      <c r="AU13" s="326"/>
      <c r="AV13" s="325"/>
      <c r="AW13" s="319"/>
      <c r="AX13" s="326"/>
      <c r="AY13" s="325"/>
      <c r="AZ13" s="319"/>
      <c r="BA13" s="324"/>
      <c r="BB13" s="323">
        <f t="shared" si="0"/>
        <v>0</v>
      </c>
      <c r="BC13" s="338">
        <f t="shared" si="1"/>
        <v>0</v>
      </c>
      <c r="BD13" s="326"/>
    </row>
    <row r="14" spans="1:56" ht="12.75">
      <c r="A14" s="440" t="s">
        <v>52</v>
      </c>
      <c r="B14" s="442" t="s">
        <v>320</v>
      </c>
      <c r="C14" s="323"/>
      <c r="D14" s="318"/>
      <c r="E14" s="326"/>
      <c r="F14" s="323"/>
      <c r="G14" s="318"/>
      <c r="H14" s="326"/>
      <c r="I14" s="323"/>
      <c r="J14" s="318"/>
      <c r="K14" s="326"/>
      <c r="L14" s="323"/>
      <c r="M14" s="318"/>
      <c r="N14" s="326"/>
      <c r="O14" s="323"/>
      <c r="P14" s="318"/>
      <c r="Q14" s="326"/>
      <c r="R14" s="323"/>
      <c r="S14" s="318"/>
      <c r="T14" s="326"/>
      <c r="U14" s="323"/>
      <c r="V14" s="318"/>
      <c r="W14" s="326"/>
      <c r="X14" s="323"/>
      <c r="Y14" s="318"/>
      <c r="Z14" s="326"/>
      <c r="AA14" s="323"/>
      <c r="AB14" s="318"/>
      <c r="AC14" s="326"/>
      <c r="AD14" s="323"/>
      <c r="AE14" s="318"/>
      <c r="AF14" s="326"/>
      <c r="AG14" s="338"/>
      <c r="AH14" s="318"/>
      <c r="AI14" s="326"/>
      <c r="AJ14" s="338"/>
      <c r="AK14" s="318"/>
      <c r="AL14" s="326"/>
      <c r="AM14" s="323"/>
      <c r="AN14" s="318"/>
      <c r="AO14" s="326"/>
      <c r="AP14" s="323"/>
      <c r="AQ14" s="318"/>
      <c r="AR14" s="326"/>
      <c r="AS14" s="323"/>
      <c r="AT14" s="318"/>
      <c r="AU14" s="326"/>
      <c r="AV14" s="323"/>
      <c r="AW14" s="318"/>
      <c r="AX14" s="326"/>
      <c r="AY14" s="323"/>
      <c r="AZ14" s="318"/>
      <c r="BA14" s="326"/>
      <c r="BB14" s="323">
        <f t="shared" si="0"/>
        <v>0</v>
      </c>
      <c r="BC14" s="338">
        <f t="shared" si="1"/>
        <v>0</v>
      </c>
      <c r="BD14" s="326"/>
    </row>
    <row r="15" spans="1:56" ht="12.75">
      <c r="A15" s="440" t="s">
        <v>54</v>
      </c>
      <c r="B15" s="441" t="s">
        <v>321</v>
      </c>
      <c r="C15" s="323">
        <f>C34-C5-C9-C10-C11-C12-C13-C14-C16-C17-C18-C19</f>
        <v>225429</v>
      </c>
      <c r="D15" s="338">
        <f>D34-D5-D9-D10-D11-D12-D13-D14-D16-D17-D18-D19</f>
        <v>304182</v>
      </c>
      <c r="E15" s="326">
        <f>+D15/C15</f>
        <v>1.349</v>
      </c>
      <c r="F15" s="323">
        <f>F34-F5-F9-F10-F11-F12-F13-F14-F16-F17-F18-F19</f>
        <v>111359</v>
      </c>
      <c r="G15" s="338">
        <f>G34-G5-G9-G10-G11-G12-G13-G14-G16-G17-G18-G19</f>
        <v>105296</v>
      </c>
      <c r="H15" s="326">
        <f>+G15/F15</f>
        <v>0.946</v>
      </c>
      <c r="I15" s="323">
        <f>I34-I5-I9-I10-I11-I12-I13-I14-I16-I17-I18-I19</f>
        <v>119788</v>
      </c>
      <c r="J15" s="338">
        <f>J34-J5-J9-J10-J11-J12-J13-J14-J16-J17-J18-J19</f>
        <v>128666</v>
      </c>
      <c r="K15" s="326">
        <f>+J15/I15</f>
        <v>1.074</v>
      </c>
      <c r="L15" s="323">
        <f>L34-L5-L9-L10-L11-L12-L13-L14-L16-L17-L18-L19</f>
        <v>247939</v>
      </c>
      <c r="M15" s="338">
        <f>M34-M5-M9-M10-M11-M12-M13-M14-M16-M17-M18-M19</f>
        <v>207421</v>
      </c>
      <c r="N15" s="326">
        <f>+M15/L15</f>
        <v>0.837</v>
      </c>
      <c r="O15" s="323">
        <f>O34-O5-O9-O10-O11-O12-O13-O14-O16-O17-O18-O19</f>
        <v>144275</v>
      </c>
      <c r="P15" s="338">
        <f>P34-P5-P9-P10-P11-P12-P13-P14-P16-P17-P18-P19</f>
        <v>144974</v>
      </c>
      <c r="Q15" s="326">
        <f>+P15/O15</f>
        <v>1.005</v>
      </c>
      <c r="R15" s="323">
        <f>R34-R5-R9-R10-R11-R12-R13-R14-R16-R17-R18-R19</f>
        <v>116926</v>
      </c>
      <c r="S15" s="338">
        <f>S34-S5-S9-S10-S11-S12-S13-S14-S16-S17-S18-S19</f>
        <v>119585</v>
      </c>
      <c r="T15" s="326">
        <f>+S15/R15</f>
        <v>1.023</v>
      </c>
      <c r="U15" s="323">
        <f>U34-U5-U9-U10-U11-U12-U13-U14-U16-U17-U18-U19</f>
        <v>112475</v>
      </c>
      <c r="V15" s="338">
        <f>V34-V5-V9-V10-V11-V12-V13-V14-V16-V17-V18-V19</f>
        <v>117699</v>
      </c>
      <c r="W15" s="326">
        <f>+V15/U15</f>
        <v>1.046</v>
      </c>
      <c r="X15" s="323">
        <f>X34-X5-X9-X10-X11-X12-X13-X14-X16-X17-X18-X19</f>
        <v>109674</v>
      </c>
      <c r="Y15" s="338">
        <f>Y34-Y5-Y9-Y10-Y11-Y12-Y13-Y14-Y16-Y17-Y18-Y19</f>
        <v>108689</v>
      </c>
      <c r="Z15" s="326">
        <f>+Y15/X15</f>
        <v>0.991</v>
      </c>
      <c r="AA15" s="323">
        <f>AA34-AA5-AA9-AA10-AA11-AA12-AA13-AA14-AA16-AA17-AA18-AA19</f>
        <v>107328</v>
      </c>
      <c r="AB15" s="338">
        <f>AB34-AB5-AB9-AB10-AB11-AB12-AB13-AB14-AB16-AB17-AB18-AB19</f>
        <v>102129</v>
      </c>
      <c r="AC15" s="326">
        <f>+AB15/AA15</f>
        <v>0.952</v>
      </c>
      <c r="AD15" s="323">
        <f>AD34-AD5-AD9-AD10-AD11-AD12-AD13-AD14-AD16-AD17-AD18-AD19</f>
        <v>123824</v>
      </c>
      <c r="AE15" s="338">
        <f>AE34-AE5-AE9-AE10-AE11-AE12-AE13-AE14-AE16-AE17-AE18-AE19</f>
        <v>119992</v>
      </c>
      <c r="AF15" s="326">
        <f>+AE15/AD15</f>
        <v>0.969</v>
      </c>
      <c r="AG15" s="338">
        <f>AG34-AG5-AG9-AG10-AG11-AG12-AG13-AG14-AG16-AG17-AG18-AG19</f>
        <v>150358</v>
      </c>
      <c r="AH15" s="338">
        <f>AH34-AH5-AH9-AH10-AH11-AH12-AH13-AH14-AH16-AH17-AH18-AH19</f>
        <v>156829</v>
      </c>
      <c r="AI15" s="326">
        <f>+AH15/AG15</f>
        <v>1.043</v>
      </c>
      <c r="AJ15" s="338">
        <f>AJ34-AJ5-AJ9-AJ10-AJ11-AJ12-AJ13-AJ14-AJ16-AJ17-AJ18-AJ19</f>
        <v>218910</v>
      </c>
      <c r="AK15" s="338">
        <f>AK34-AK5-AK9-AK10-AK11-AK12-AK13-AK14-AK16-AK17-AK18-AK19</f>
        <v>172205</v>
      </c>
      <c r="AL15" s="326">
        <f>+AK15/AJ15</f>
        <v>0.787</v>
      </c>
      <c r="AM15" s="323">
        <f>AM34-AM5-AM9-AM10-AM11-AM12-AM13-AM14-AM16-AM17-AM18-AM19</f>
        <v>158213</v>
      </c>
      <c r="AN15" s="338">
        <f>AN34-AN5-AN9-AN10-AN11-AN12-AN13-AN14-AN16-AN17-AN18-AN19</f>
        <v>185148</v>
      </c>
      <c r="AO15" s="326">
        <f>+AN15/AM15</f>
        <v>1.17</v>
      </c>
      <c r="AP15" s="323">
        <f>AP34-AP5-AP9-AP10-AP11-AP12-AP13-AP14-AP16-AP17-AP18-AP19</f>
        <v>169584</v>
      </c>
      <c r="AQ15" s="338">
        <f>AQ34-AQ5-AQ9-AQ10-AQ11-AQ12-AQ13-AQ14-AQ16-AQ17-AQ18-AQ19</f>
        <v>182166</v>
      </c>
      <c r="AR15" s="326">
        <f>+AQ15/AP15</f>
        <v>1.074</v>
      </c>
      <c r="AS15" s="323">
        <f>AS34-AS5-AS9-AS10-AS11-AS12-AS13-AS14-AS16-AS17-AS18-AS19</f>
        <v>236927</v>
      </c>
      <c r="AT15" s="338">
        <f>AT34-AT5-AT9-AT10-AT11-AT12-AT13-AT14-AT16-AT17-AT18-AT19</f>
        <v>231480</v>
      </c>
      <c r="AU15" s="326">
        <f>+AT15/AS15</f>
        <v>0.977</v>
      </c>
      <c r="AV15" s="323">
        <f>AV34-AV5-AV9-AV10-AV11-AV12-AV13-AV14-AV16-AV17-AV18-AV19</f>
        <v>193741</v>
      </c>
      <c r="AW15" s="338">
        <f>AW34-AW5-AW9-AW10-AW11-AW12-AW13-AW14-AW16-AW17-AW18-AW19</f>
        <v>217276</v>
      </c>
      <c r="AX15" s="326">
        <f>+AW15/AV15</f>
        <v>1.121</v>
      </c>
      <c r="AY15" s="323">
        <f>AY34-AY5-AY9-AY10-AY11-AY12-AY13-AY14-AY16-AY17-AY18-AY19</f>
        <v>148881</v>
      </c>
      <c r="AZ15" s="338">
        <f>AZ34-AZ5-AZ9-AZ10-AZ11-AZ12-AZ13-AZ14-AZ16-AZ17-AZ18-AZ19</f>
        <v>145529</v>
      </c>
      <c r="BA15" s="326">
        <f>+AZ15/AY15</f>
        <v>0.977</v>
      </c>
      <c r="BB15" s="323">
        <f t="shared" si="0"/>
        <v>2695631</v>
      </c>
      <c r="BC15" s="338">
        <f t="shared" si="1"/>
        <v>2749266</v>
      </c>
      <c r="BD15" s="326">
        <f>++BC15/BB15</f>
        <v>1.02</v>
      </c>
    </row>
    <row r="16" spans="1:56" ht="12.75">
      <c r="A16" s="440" t="s">
        <v>55</v>
      </c>
      <c r="B16" s="442" t="s">
        <v>53</v>
      </c>
      <c r="C16" s="325"/>
      <c r="D16" s="319"/>
      <c r="E16" s="324"/>
      <c r="F16" s="325"/>
      <c r="G16" s="319"/>
      <c r="H16" s="324"/>
      <c r="I16" s="325"/>
      <c r="J16" s="319"/>
      <c r="K16" s="324"/>
      <c r="L16" s="325"/>
      <c r="M16" s="319"/>
      <c r="N16" s="324"/>
      <c r="O16" s="325"/>
      <c r="P16" s="319"/>
      <c r="Q16" s="324"/>
      <c r="R16" s="325"/>
      <c r="S16" s="319"/>
      <c r="T16" s="324"/>
      <c r="U16" s="325"/>
      <c r="V16" s="319"/>
      <c r="W16" s="324"/>
      <c r="X16" s="325"/>
      <c r="Y16" s="319"/>
      <c r="Z16" s="324"/>
      <c r="AA16" s="325"/>
      <c r="AB16" s="319"/>
      <c r="AC16" s="324"/>
      <c r="AD16" s="325"/>
      <c r="AE16" s="319"/>
      <c r="AF16" s="324"/>
      <c r="AG16" s="337"/>
      <c r="AH16" s="319"/>
      <c r="AI16" s="324"/>
      <c r="AJ16" s="337"/>
      <c r="AK16" s="319"/>
      <c r="AL16" s="324"/>
      <c r="AM16" s="325"/>
      <c r="AN16" s="319"/>
      <c r="AO16" s="324"/>
      <c r="AP16" s="325"/>
      <c r="AQ16" s="319"/>
      <c r="AR16" s="324"/>
      <c r="AS16" s="325"/>
      <c r="AT16" s="319"/>
      <c r="AU16" s="324"/>
      <c r="AV16" s="325"/>
      <c r="AW16" s="319"/>
      <c r="AX16" s="324"/>
      <c r="AY16" s="325"/>
      <c r="AZ16" s="319"/>
      <c r="BA16" s="324"/>
      <c r="BB16" s="323">
        <f t="shared" si="0"/>
        <v>0</v>
      </c>
      <c r="BC16" s="338">
        <f t="shared" si="1"/>
        <v>0</v>
      </c>
      <c r="BD16" s="324"/>
    </row>
    <row r="17" spans="1:56" s="87" customFormat="1" ht="12.75">
      <c r="A17" s="440" t="s">
        <v>57</v>
      </c>
      <c r="B17" s="441" t="s">
        <v>322</v>
      </c>
      <c r="C17" s="325"/>
      <c r="D17" s="319"/>
      <c r="E17" s="324"/>
      <c r="F17" s="325"/>
      <c r="G17" s="319"/>
      <c r="H17" s="324"/>
      <c r="I17" s="325"/>
      <c r="J17" s="319"/>
      <c r="K17" s="324"/>
      <c r="L17" s="325"/>
      <c r="M17" s="319"/>
      <c r="N17" s="324"/>
      <c r="O17" s="325"/>
      <c r="P17" s="319"/>
      <c r="Q17" s="324"/>
      <c r="R17" s="325"/>
      <c r="S17" s="319"/>
      <c r="T17" s="324"/>
      <c r="U17" s="325"/>
      <c r="V17" s="319"/>
      <c r="W17" s="324"/>
      <c r="X17" s="325"/>
      <c r="Y17" s="319"/>
      <c r="Z17" s="324"/>
      <c r="AA17" s="325"/>
      <c r="AB17" s="319"/>
      <c r="AC17" s="324"/>
      <c r="AD17" s="325"/>
      <c r="AE17" s="319"/>
      <c r="AF17" s="324"/>
      <c r="AG17" s="337"/>
      <c r="AH17" s="319"/>
      <c r="AI17" s="324"/>
      <c r="AJ17" s="337"/>
      <c r="AK17" s="319"/>
      <c r="AL17" s="324"/>
      <c r="AM17" s="325"/>
      <c r="AN17" s="319"/>
      <c r="AO17" s="324"/>
      <c r="AP17" s="325"/>
      <c r="AQ17" s="319"/>
      <c r="AR17" s="324"/>
      <c r="AS17" s="325"/>
      <c r="AT17" s="319"/>
      <c r="AU17" s="324"/>
      <c r="AV17" s="325"/>
      <c r="AW17" s="319"/>
      <c r="AX17" s="324"/>
      <c r="AY17" s="325"/>
      <c r="AZ17" s="319"/>
      <c r="BA17" s="324"/>
      <c r="BB17" s="323">
        <f t="shared" si="0"/>
        <v>0</v>
      </c>
      <c r="BC17" s="338">
        <f t="shared" si="1"/>
        <v>0</v>
      </c>
      <c r="BD17" s="324"/>
    </row>
    <row r="18" spans="1:56" ht="12.75">
      <c r="A18" s="440" t="s">
        <v>59</v>
      </c>
      <c r="B18" s="441" t="s">
        <v>56</v>
      </c>
      <c r="C18" s="323"/>
      <c r="D18" s="318"/>
      <c r="E18" s="324"/>
      <c r="F18" s="323"/>
      <c r="G18" s="318"/>
      <c r="H18" s="324"/>
      <c r="I18" s="323"/>
      <c r="J18" s="318"/>
      <c r="K18" s="324"/>
      <c r="L18" s="323"/>
      <c r="M18" s="318"/>
      <c r="N18" s="324"/>
      <c r="O18" s="323"/>
      <c r="P18" s="318"/>
      <c r="Q18" s="324"/>
      <c r="R18" s="323"/>
      <c r="S18" s="318"/>
      <c r="T18" s="324"/>
      <c r="U18" s="323"/>
      <c r="V18" s="318"/>
      <c r="W18" s="324"/>
      <c r="X18" s="323"/>
      <c r="Y18" s="318"/>
      <c r="Z18" s="324"/>
      <c r="AA18" s="323"/>
      <c r="AB18" s="318"/>
      <c r="AC18" s="324"/>
      <c r="AD18" s="323"/>
      <c r="AE18" s="318"/>
      <c r="AF18" s="324"/>
      <c r="AG18" s="338"/>
      <c r="AH18" s="318"/>
      <c r="AI18" s="324"/>
      <c r="AJ18" s="338"/>
      <c r="AK18" s="318"/>
      <c r="AL18" s="324"/>
      <c r="AM18" s="323"/>
      <c r="AN18" s="318"/>
      <c r="AO18" s="324"/>
      <c r="AP18" s="323"/>
      <c r="AQ18" s="318"/>
      <c r="AR18" s="324"/>
      <c r="AS18" s="323"/>
      <c r="AT18" s="318"/>
      <c r="AU18" s="324"/>
      <c r="AV18" s="323"/>
      <c r="AW18" s="318"/>
      <c r="AX18" s="324"/>
      <c r="AY18" s="323"/>
      <c r="AZ18" s="318"/>
      <c r="BA18" s="324"/>
      <c r="BB18" s="323">
        <f t="shared" si="0"/>
        <v>0</v>
      </c>
      <c r="BC18" s="338">
        <f t="shared" si="1"/>
        <v>0</v>
      </c>
      <c r="BD18" s="324"/>
    </row>
    <row r="19" spans="1:56" s="87" customFormat="1" ht="13.5" thickBot="1">
      <c r="A19" s="443" t="s">
        <v>61</v>
      </c>
      <c r="B19" s="475" t="s">
        <v>295</v>
      </c>
      <c r="C19" s="349"/>
      <c r="D19" s="333"/>
      <c r="E19" s="348"/>
      <c r="F19" s="349"/>
      <c r="G19" s="333"/>
      <c r="H19" s="348"/>
      <c r="I19" s="349"/>
      <c r="J19" s="333"/>
      <c r="K19" s="348"/>
      <c r="L19" s="349"/>
      <c r="M19" s="333"/>
      <c r="N19" s="348"/>
      <c r="O19" s="349"/>
      <c r="P19" s="333"/>
      <c r="Q19" s="348"/>
      <c r="R19" s="349"/>
      <c r="S19" s="333"/>
      <c r="T19" s="348"/>
      <c r="U19" s="349"/>
      <c r="V19" s="333"/>
      <c r="W19" s="348"/>
      <c r="X19" s="349"/>
      <c r="Y19" s="333"/>
      <c r="Z19" s="348"/>
      <c r="AA19" s="349"/>
      <c r="AB19" s="333"/>
      <c r="AC19" s="348"/>
      <c r="AD19" s="349"/>
      <c r="AE19" s="333"/>
      <c r="AF19" s="348"/>
      <c r="AG19" s="339"/>
      <c r="AH19" s="333"/>
      <c r="AI19" s="348"/>
      <c r="AJ19" s="339"/>
      <c r="AK19" s="333"/>
      <c r="AL19" s="348"/>
      <c r="AM19" s="349"/>
      <c r="AN19" s="333"/>
      <c r="AO19" s="348"/>
      <c r="AP19" s="349"/>
      <c r="AQ19" s="333"/>
      <c r="AR19" s="348"/>
      <c r="AS19" s="349"/>
      <c r="AT19" s="333"/>
      <c r="AU19" s="348"/>
      <c r="AV19" s="349"/>
      <c r="AW19" s="333"/>
      <c r="AX19" s="348"/>
      <c r="AY19" s="349"/>
      <c r="AZ19" s="333"/>
      <c r="BA19" s="348"/>
      <c r="BB19" s="323">
        <f t="shared" si="0"/>
        <v>0</v>
      </c>
      <c r="BC19" s="338">
        <f t="shared" si="1"/>
        <v>0</v>
      </c>
      <c r="BD19" s="348"/>
    </row>
    <row r="20" spans="1:56" ht="14.25" thickBot="1" thickTop="1">
      <c r="A20" s="625" t="s">
        <v>63</v>
      </c>
      <c r="B20" s="83" t="s">
        <v>323</v>
      </c>
      <c r="C20" s="350">
        <f>SUM(C5,C9:C19)</f>
        <v>225429</v>
      </c>
      <c r="D20" s="340">
        <f>SUM(D5,D9:D19)</f>
        <v>304192</v>
      </c>
      <c r="E20" s="358">
        <f>+D20/C20</f>
        <v>1.349</v>
      </c>
      <c r="F20" s="350">
        <f>SUM(F5,F9:F19)</f>
        <v>112609</v>
      </c>
      <c r="G20" s="340">
        <f>SUM(G5,G9:G19)</f>
        <v>106896</v>
      </c>
      <c r="H20" s="358">
        <f>+G20/F20</f>
        <v>0.949</v>
      </c>
      <c r="I20" s="350">
        <f>SUM(I5,I9:I19)</f>
        <v>121663</v>
      </c>
      <c r="J20" s="340">
        <f>SUM(J5,J9:J19)</f>
        <v>130466</v>
      </c>
      <c r="K20" s="358">
        <f>+J20/I20</f>
        <v>1.072</v>
      </c>
      <c r="L20" s="350">
        <f>SUM(L5,L9:L19)</f>
        <v>251064</v>
      </c>
      <c r="M20" s="340">
        <f>SUM(M5,M9:M19)</f>
        <v>210621</v>
      </c>
      <c r="N20" s="358">
        <f>+M20/L20</f>
        <v>0.839</v>
      </c>
      <c r="O20" s="350">
        <f>SUM(O5,O9:O19)</f>
        <v>145275</v>
      </c>
      <c r="P20" s="340">
        <f>SUM(P5,P9:P19)</f>
        <v>146674</v>
      </c>
      <c r="Q20" s="358">
        <f>+P20/O20</f>
        <v>1.01</v>
      </c>
      <c r="R20" s="350">
        <f>SUM(R5,R9:R19)</f>
        <v>120051</v>
      </c>
      <c r="S20" s="340">
        <f>SUM(S5,S9:S19)</f>
        <v>122885</v>
      </c>
      <c r="T20" s="358">
        <f>+S20/R20</f>
        <v>1.024</v>
      </c>
      <c r="U20" s="350">
        <f>SUM(U5,U9:U19)</f>
        <v>114975</v>
      </c>
      <c r="V20" s="340">
        <f>SUM(V5,V9:V19)</f>
        <v>120299</v>
      </c>
      <c r="W20" s="358">
        <f>+V20/U20</f>
        <v>1.046</v>
      </c>
      <c r="X20" s="350">
        <f>SUM(X5,X9:X19)</f>
        <v>111674</v>
      </c>
      <c r="Y20" s="340">
        <f>SUM(Y5,Y9:Y19)</f>
        <v>110790</v>
      </c>
      <c r="Z20" s="358">
        <f>+Y20/X20</f>
        <v>0.992</v>
      </c>
      <c r="AA20" s="350">
        <f>SUM(AA5,AA9:AA19)</f>
        <v>108328</v>
      </c>
      <c r="AB20" s="340">
        <f>SUM(AB5,AB9:AB19)</f>
        <v>103145</v>
      </c>
      <c r="AC20" s="358">
        <f>+AB20/AA20</f>
        <v>0.952</v>
      </c>
      <c r="AD20" s="350">
        <f>SUM(AD5,AD9:AD19)</f>
        <v>126324</v>
      </c>
      <c r="AE20" s="340">
        <f>SUM(AE5,AE9:AE19)</f>
        <v>123192</v>
      </c>
      <c r="AF20" s="358">
        <f>+AE20/AD20</f>
        <v>0.975</v>
      </c>
      <c r="AG20" s="340">
        <f>SUM(AG5,AG9:AG19)</f>
        <v>156608</v>
      </c>
      <c r="AH20" s="340">
        <f>SUM(AH5,AH9:AH19)</f>
        <v>163229</v>
      </c>
      <c r="AI20" s="358">
        <f>+AH20/AG20</f>
        <v>1.042</v>
      </c>
      <c r="AJ20" s="340">
        <f>SUM(AJ5,AJ9:AJ19)</f>
        <v>221410</v>
      </c>
      <c r="AK20" s="340">
        <f>SUM(AK5,AK9:AK19)</f>
        <v>174005</v>
      </c>
      <c r="AL20" s="358">
        <f>+AK20/AJ20</f>
        <v>0.786</v>
      </c>
      <c r="AM20" s="350">
        <f>SUM(AM5,AM9:AM19)</f>
        <v>161913</v>
      </c>
      <c r="AN20" s="340">
        <f>SUM(AN5,AN9:AN19)</f>
        <v>188548</v>
      </c>
      <c r="AO20" s="358">
        <f>+AN20/AM20</f>
        <v>1.165</v>
      </c>
      <c r="AP20" s="350">
        <f>SUM(AP5,AP9:AP19)</f>
        <v>172084</v>
      </c>
      <c r="AQ20" s="340">
        <f>SUM(AQ5,AQ9:AQ19)</f>
        <v>185466</v>
      </c>
      <c r="AR20" s="358">
        <f>+AQ20/AP20</f>
        <v>1.078</v>
      </c>
      <c r="AS20" s="350">
        <f>SUM(AS5,AS9:AS19)</f>
        <v>244427</v>
      </c>
      <c r="AT20" s="340">
        <f>SUM(AT5,AT9:AT19)</f>
        <v>238480</v>
      </c>
      <c r="AU20" s="358">
        <f>+AT20/AS20</f>
        <v>0.976</v>
      </c>
      <c r="AV20" s="350">
        <f>SUM(AV5,AV9:AV19)</f>
        <v>198116</v>
      </c>
      <c r="AW20" s="340">
        <f>SUM(AW5,AW9:AW19)</f>
        <v>221721</v>
      </c>
      <c r="AX20" s="358">
        <f>+AW20/AV20</f>
        <v>1.119</v>
      </c>
      <c r="AY20" s="350">
        <f>SUM(AY5,AY9:AY19)</f>
        <v>166881</v>
      </c>
      <c r="AZ20" s="340">
        <f>SUM(AZ5,AZ9:AZ19)</f>
        <v>162929</v>
      </c>
      <c r="BA20" s="358">
        <f>+AZ20/AY20</f>
        <v>0.976</v>
      </c>
      <c r="BB20" s="350">
        <f>SUM(BB5,BB9:BB19)</f>
        <v>2758831</v>
      </c>
      <c r="BC20" s="340">
        <f>SUM(BC5,BC9:BC19)</f>
        <v>2813538</v>
      </c>
      <c r="BD20" s="358">
        <f>++BC20/BB20</f>
        <v>1.02</v>
      </c>
    </row>
    <row r="21" spans="1:56" ht="12.75">
      <c r="A21" s="165" t="s">
        <v>58</v>
      </c>
      <c r="B21" s="91"/>
      <c r="C21" s="521"/>
      <c r="D21" s="522"/>
      <c r="E21" s="523"/>
      <c r="F21" s="521"/>
      <c r="G21" s="522"/>
      <c r="H21" s="523"/>
      <c r="I21" s="521"/>
      <c r="J21" s="522"/>
      <c r="K21" s="523"/>
      <c r="L21" s="521"/>
      <c r="M21" s="522"/>
      <c r="N21" s="523"/>
      <c r="O21" s="521"/>
      <c r="P21" s="522"/>
      <c r="Q21" s="523"/>
      <c r="R21" s="521"/>
      <c r="S21" s="522"/>
      <c r="T21" s="523"/>
      <c r="U21" s="521"/>
      <c r="V21" s="522"/>
      <c r="W21" s="523"/>
      <c r="X21" s="521"/>
      <c r="Y21" s="522"/>
      <c r="Z21" s="523"/>
      <c r="AA21" s="521"/>
      <c r="AB21" s="522"/>
      <c r="AC21" s="523"/>
      <c r="AD21" s="521"/>
      <c r="AE21" s="522"/>
      <c r="AF21" s="523"/>
      <c r="AG21" s="524"/>
      <c r="AH21" s="522"/>
      <c r="AI21" s="523"/>
      <c r="AJ21" s="524"/>
      <c r="AK21" s="522"/>
      <c r="AL21" s="523"/>
      <c r="AM21" s="521"/>
      <c r="AN21" s="522"/>
      <c r="AO21" s="523"/>
      <c r="AP21" s="521"/>
      <c r="AQ21" s="522"/>
      <c r="AR21" s="523"/>
      <c r="AS21" s="521"/>
      <c r="AT21" s="522"/>
      <c r="AU21" s="523"/>
      <c r="AV21" s="521"/>
      <c r="AW21" s="522"/>
      <c r="AX21" s="523"/>
      <c r="AY21" s="521"/>
      <c r="AZ21" s="522"/>
      <c r="BA21" s="523"/>
      <c r="BB21" s="521"/>
      <c r="BC21" s="522"/>
      <c r="BD21" s="523"/>
    </row>
    <row r="22" spans="1:56" ht="12.75">
      <c r="A22" s="438" t="s">
        <v>64</v>
      </c>
      <c r="B22" s="439" t="s">
        <v>60</v>
      </c>
      <c r="C22" s="525">
        <f>SUM(C23:C28)</f>
        <v>225429</v>
      </c>
      <c r="D22" s="519">
        <f>SUM(D23:D28)</f>
        <v>304192</v>
      </c>
      <c r="E22" s="367">
        <f>+D22/C22</f>
        <v>1.349</v>
      </c>
      <c r="F22" s="525">
        <f>SUM(F23:F28)</f>
        <v>112609</v>
      </c>
      <c r="G22" s="519">
        <f>SUM(G23:G28)</f>
        <v>106896</v>
      </c>
      <c r="H22" s="367">
        <f>+G22/F22</f>
        <v>0.949</v>
      </c>
      <c r="I22" s="525">
        <f>SUM(I23:I28)</f>
        <v>121663</v>
      </c>
      <c r="J22" s="519">
        <f>SUM(J23:J28)</f>
        <v>130466</v>
      </c>
      <c r="K22" s="367">
        <f>+J22/I22</f>
        <v>1.072</v>
      </c>
      <c r="L22" s="525">
        <f>SUM(L23:L28)</f>
        <v>251064</v>
      </c>
      <c r="M22" s="519">
        <f>SUM(M23:M28)</f>
        <v>210621</v>
      </c>
      <c r="N22" s="367">
        <f>+M22/L22</f>
        <v>0.839</v>
      </c>
      <c r="O22" s="525">
        <f>SUM(O23:O28)</f>
        <v>145275</v>
      </c>
      <c r="P22" s="519">
        <f>SUM(P23:P28)</f>
        <v>146674</v>
      </c>
      <c r="Q22" s="367">
        <f>+P22/O22</f>
        <v>1.01</v>
      </c>
      <c r="R22" s="525">
        <f>SUM(R23:R28)</f>
        <v>120051</v>
      </c>
      <c r="S22" s="519">
        <f>SUM(S23:S28)</f>
        <v>122885</v>
      </c>
      <c r="T22" s="367">
        <f>+S22/R22</f>
        <v>1.024</v>
      </c>
      <c r="U22" s="525">
        <f>SUM(U23:U28)</f>
        <v>114975</v>
      </c>
      <c r="V22" s="519">
        <f>SUM(V23:V28)</f>
        <v>120299</v>
      </c>
      <c r="W22" s="367">
        <f>+V22/U22</f>
        <v>1.046</v>
      </c>
      <c r="X22" s="525">
        <f>SUM(X23:X28)</f>
        <v>111674</v>
      </c>
      <c r="Y22" s="519">
        <f>SUM(Y23:Y28)</f>
        <v>110790</v>
      </c>
      <c r="Z22" s="367">
        <f>+Y22/X22</f>
        <v>0.992</v>
      </c>
      <c r="AA22" s="525">
        <f>SUM(AA23:AA28)</f>
        <v>108328</v>
      </c>
      <c r="AB22" s="519">
        <f>SUM(AB23:AB28)</f>
        <v>103145</v>
      </c>
      <c r="AC22" s="367">
        <f>+AB22/AA22</f>
        <v>0.952</v>
      </c>
      <c r="AD22" s="525">
        <f>SUM(AD23:AD28)</f>
        <v>126324</v>
      </c>
      <c r="AE22" s="519">
        <f>SUM(AE23:AE28)</f>
        <v>123192</v>
      </c>
      <c r="AF22" s="367">
        <f>+AE22/AD22</f>
        <v>0.975</v>
      </c>
      <c r="AG22" s="519">
        <f>SUM(AG23:AG28)</f>
        <v>156608</v>
      </c>
      <c r="AH22" s="519">
        <f>SUM(AH23:AH28)</f>
        <v>163229</v>
      </c>
      <c r="AI22" s="367">
        <f>+AH22/AG22</f>
        <v>1.042</v>
      </c>
      <c r="AJ22" s="519">
        <f>SUM(AJ23:AJ28)</f>
        <v>221410</v>
      </c>
      <c r="AK22" s="519">
        <f>SUM(AK23:AK28)</f>
        <v>174005</v>
      </c>
      <c r="AL22" s="367">
        <f>+AK22/AJ22</f>
        <v>0.786</v>
      </c>
      <c r="AM22" s="525">
        <f>SUM(AM23:AM28)</f>
        <v>161913</v>
      </c>
      <c r="AN22" s="519">
        <f>SUM(AN23:AN28)</f>
        <v>188548</v>
      </c>
      <c r="AO22" s="367">
        <f>+AN22/AM22</f>
        <v>1.165</v>
      </c>
      <c r="AP22" s="525">
        <f>SUM(AP23:AP28)</f>
        <v>172084</v>
      </c>
      <c r="AQ22" s="519">
        <f>SUM(AQ23:AQ28)</f>
        <v>185466</v>
      </c>
      <c r="AR22" s="367">
        <f>+AQ22/AP22</f>
        <v>1.078</v>
      </c>
      <c r="AS22" s="525">
        <f>SUM(AS23:AS28)</f>
        <v>244427</v>
      </c>
      <c r="AT22" s="519">
        <f>SUM(AT23:AT28)</f>
        <v>238480</v>
      </c>
      <c r="AU22" s="367">
        <f>+AT22/AS22</f>
        <v>0.976</v>
      </c>
      <c r="AV22" s="525">
        <f>SUM(AV23:AV28)</f>
        <v>198116</v>
      </c>
      <c r="AW22" s="519">
        <f>SUM(AW23:AW28)</f>
        <v>221579</v>
      </c>
      <c r="AX22" s="367">
        <f>+AW22/AV22</f>
        <v>1.118</v>
      </c>
      <c r="AY22" s="525">
        <f>SUM(AY23:AY28)</f>
        <v>166881</v>
      </c>
      <c r="AZ22" s="519">
        <f>SUM(AZ23:AZ28)</f>
        <v>162929</v>
      </c>
      <c r="BA22" s="367">
        <f>+AZ22/AY22</f>
        <v>0.976</v>
      </c>
      <c r="BB22" s="525">
        <f>SUM(BB23:BB28)</f>
        <v>2758831</v>
      </c>
      <c r="BC22" s="519">
        <f>SUM(BC23:BC28)</f>
        <v>2813396</v>
      </c>
      <c r="BD22" s="367">
        <f>++BC22/BB22</f>
        <v>1.02</v>
      </c>
    </row>
    <row r="23" spans="1:56" ht="12.75">
      <c r="A23" s="440"/>
      <c r="B23" s="441" t="s">
        <v>200</v>
      </c>
      <c r="C23" s="323">
        <f>87355+88167</f>
        <v>175522</v>
      </c>
      <c r="D23" s="318">
        <f>233794+5075-482</f>
        <v>238387</v>
      </c>
      <c r="E23" s="326">
        <f>+D23/C23</f>
        <v>1.358</v>
      </c>
      <c r="F23" s="323">
        <v>84706</v>
      </c>
      <c r="G23" s="318">
        <f>79544+1418-160</f>
        <v>80802</v>
      </c>
      <c r="H23" s="326">
        <f>+G23/F23</f>
        <v>0.954</v>
      </c>
      <c r="I23" s="323">
        <v>91658</v>
      </c>
      <c r="J23" s="318">
        <f>96880+2545-238</f>
        <v>99187</v>
      </c>
      <c r="K23" s="326">
        <f>+J23/I23</f>
        <v>1.082</v>
      </c>
      <c r="L23" s="323">
        <v>192993</v>
      </c>
      <c r="M23" s="318">
        <f>154816+7817-433</f>
        <v>162200</v>
      </c>
      <c r="N23" s="326">
        <f>+M23/L23</f>
        <v>0.84</v>
      </c>
      <c r="O23" s="323">
        <v>108985</v>
      </c>
      <c r="P23" s="318">
        <f>107357+3815-242</f>
        <v>110930</v>
      </c>
      <c r="Q23" s="326">
        <f>+P23/O23</f>
        <v>1.018</v>
      </c>
      <c r="R23" s="323">
        <v>91505</v>
      </c>
      <c r="S23" s="318">
        <f>92211+2175-248</f>
        <v>94138</v>
      </c>
      <c r="T23" s="326">
        <f>+S23/R23</f>
        <v>1.029</v>
      </c>
      <c r="U23" s="323">
        <v>86976</v>
      </c>
      <c r="V23" s="318">
        <f>87699+4389-338</f>
        <v>91750</v>
      </c>
      <c r="W23" s="326">
        <f>+V23/U23</f>
        <v>1.055</v>
      </c>
      <c r="X23" s="323">
        <v>84668</v>
      </c>
      <c r="Y23" s="318">
        <f>81439+3199-218</f>
        <v>84420</v>
      </c>
      <c r="Z23" s="326">
        <f>+Y23/X23</f>
        <v>0.997</v>
      </c>
      <c r="AA23" s="323">
        <v>81742</v>
      </c>
      <c r="AB23" s="318">
        <f>76320+2054-171</f>
        <v>78203</v>
      </c>
      <c r="AC23" s="326">
        <f>+AB23/AA23</f>
        <v>0.957</v>
      </c>
      <c r="AD23" s="323">
        <v>95635</v>
      </c>
      <c r="AE23" s="318">
        <f>91842+2060-208</f>
        <v>93694</v>
      </c>
      <c r="AF23" s="326">
        <f>+AE23/AD23</f>
        <v>0.98</v>
      </c>
      <c r="AG23" s="338">
        <v>119389</v>
      </c>
      <c r="AH23" s="318">
        <f>118971+6905-324</f>
        <v>125552</v>
      </c>
      <c r="AI23" s="326">
        <f>+AH23/AG23</f>
        <v>1.052</v>
      </c>
      <c r="AJ23" s="338">
        <v>167813</v>
      </c>
      <c r="AK23" s="318">
        <f>127594+4314-329</f>
        <v>131579</v>
      </c>
      <c r="AL23" s="326">
        <f>+AK23/AJ23</f>
        <v>0.784</v>
      </c>
      <c r="AM23" s="323">
        <v>122766</v>
      </c>
      <c r="AN23" s="318">
        <f>138011+6682-223</f>
        <v>144470</v>
      </c>
      <c r="AO23" s="326">
        <f>+AN23/AM23</f>
        <v>1.177</v>
      </c>
      <c r="AP23" s="323">
        <v>130702</v>
      </c>
      <c r="AQ23" s="318">
        <f>134962+7332-388</f>
        <v>141906</v>
      </c>
      <c r="AR23" s="326">
        <f>+AQ23/AP23</f>
        <v>1.086</v>
      </c>
      <c r="AS23" s="323">
        <v>186308</v>
      </c>
      <c r="AT23" s="318">
        <f>177928+5001-320</f>
        <v>182609</v>
      </c>
      <c r="AU23" s="326">
        <f>+AT23/AS23</f>
        <v>0.98</v>
      </c>
      <c r="AV23" s="323">
        <v>150493</v>
      </c>
      <c r="AW23" s="318">
        <f>163286+7041-497</f>
        <v>169830</v>
      </c>
      <c r="AX23" s="326">
        <f>+AW23/AV23</f>
        <v>1.128</v>
      </c>
      <c r="AY23" s="323">
        <v>123494</v>
      </c>
      <c r="AZ23" s="318">
        <f>119065+2966-142</f>
        <v>121889</v>
      </c>
      <c r="BA23" s="326">
        <f>+AZ23/AY23</f>
        <v>0.987</v>
      </c>
      <c r="BB23" s="323">
        <f aca="true" t="shared" si="2" ref="BB23:BC33">SUM(C23,F23,I23,L23,O23,R23,U23,AG23,AD23,AA23,X23)+AJ23+AM23+AP23+AS23+AV23+AY23</f>
        <v>2095355</v>
      </c>
      <c r="BC23" s="338">
        <f t="shared" si="2"/>
        <v>2151546</v>
      </c>
      <c r="BD23" s="326">
        <f aca="true" t="shared" si="3" ref="BD23:BD37">++BC23/BB23</f>
        <v>1.027</v>
      </c>
    </row>
    <row r="24" spans="1:56" ht="12.75">
      <c r="A24" s="440"/>
      <c r="B24" s="441" t="s">
        <v>201</v>
      </c>
      <c r="C24" s="323">
        <f>23132+22725</f>
        <v>45857</v>
      </c>
      <c r="D24" s="318">
        <f>61122+1370-130</f>
        <v>62362</v>
      </c>
      <c r="E24" s="326">
        <f>+D24/C24</f>
        <v>1.36</v>
      </c>
      <c r="F24" s="323">
        <v>22660</v>
      </c>
      <c r="G24" s="318">
        <f>21297+383-43</f>
        <v>21637</v>
      </c>
      <c r="H24" s="326">
        <f>+G24/F24</f>
        <v>0.955</v>
      </c>
      <c r="I24" s="323">
        <v>24567</v>
      </c>
      <c r="J24" s="318">
        <f>26034+687-64</f>
        <v>26657</v>
      </c>
      <c r="K24" s="326">
        <f>+J24/I24</f>
        <v>1.085</v>
      </c>
      <c r="L24" s="323">
        <v>52308</v>
      </c>
      <c r="M24" s="318">
        <f>41528+2111-117</f>
        <v>43522</v>
      </c>
      <c r="N24" s="326">
        <f>+M24/L24</f>
        <v>0.832</v>
      </c>
      <c r="O24" s="323">
        <v>29195</v>
      </c>
      <c r="P24" s="318">
        <f>28748+1030-65</f>
        <v>29713</v>
      </c>
      <c r="Q24" s="326">
        <f>+P24/O24</f>
        <v>1.018</v>
      </c>
      <c r="R24" s="323">
        <v>24496</v>
      </c>
      <c r="S24" s="318">
        <f>24784+587-67</f>
        <v>25304</v>
      </c>
      <c r="T24" s="326">
        <f>+S24/R24</f>
        <v>1.033</v>
      </c>
      <c r="U24" s="323">
        <v>23411</v>
      </c>
      <c r="V24" s="318">
        <f>23555+1185-91</f>
        <v>24649</v>
      </c>
      <c r="W24" s="326">
        <f>+V24/U24</f>
        <v>1.053</v>
      </c>
      <c r="X24" s="323">
        <v>22581</v>
      </c>
      <c r="Y24" s="318">
        <f>21804+864-59</f>
        <v>22609</v>
      </c>
      <c r="Z24" s="326">
        <f>+Y24/X24</f>
        <v>1.001</v>
      </c>
      <c r="AA24" s="323">
        <v>21986</v>
      </c>
      <c r="AB24" s="318">
        <f>20523+555-46</f>
        <v>21032</v>
      </c>
      <c r="AC24" s="326">
        <f>+AB24/AA24</f>
        <v>0.957</v>
      </c>
      <c r="AD24" s="323">
        <v>25539</v>
      </c>
      <c r="AE24" s="318">
        <f>24620+556-56</f>
        <v>25120</v>
      </c>
      <c r="AF24" s="326">
        <f>+AE24/AD24</f>
        <v>0.984</v>
      </c>
      <c r="AG24" s="338">
        <v>30856</v>
      </c>
      <c r="AH24" s="318">
        <f>31835+1864-88</f>
        <v>33611</v>
      </c>
      <c r="AI24" s="326">
        <f>+AH24/AG24</f>
        <v>1.089</v>
      </c>
      <c r="AJ24" s="338">
        <v>44707</v>
      </c>
      <c r="AK24" s="318">
        <f>33793+1165-89</f>
        <v>34869</v>
      </c>
      <c r="AL24" s="326">
        <f>+AK24/AJ24</f>
        <v>0.78</v>
      </c>
      <c r="AM24" s="323">
        <v>33147</v>
      </c>
      <c r="AN24" s="318">
        <f>37234+1804-60</f>
        <v>38978</v>
      </c>
      <c r="AO24" s="326">
        <f>+AN24/AM24</f>
        <v>1.176</v>
      </c>
      <c r="AP24" s="323">
        <v>34966</v>
      </c>
      <c r="AQ24" s="318">
        <f>36231+1980-105</f>
        <v>38106</v>
      </c>
      <c r="AR24" s="326">
        <f>+AQ24/AP24</f>
        <v>1.09</v>
      </c>
      <c r="AS24" s="323">
        <v>49769</v>
      </c>
      <c r="AT24" s="318">
        <f>47509+1350-86</f>
        <v>48773</v>
      </c>
      <c r="AU24" s="326">
        <f>+AT24/AS24</f>
        <v>0.98</v>
      </c>
      <c r="AV24" s="323">
        <v>40203</v>
      </c>
      <c r="AW24" s="318">
        <f>43817+1901-134</f>
        <v>45584</v>
      </c>
      <c r="AX24" s="326">
        <f>+AW24/AV24</f>
        <v>1.134</v>
      </c>
      <c r="AY24" s="323">
        <v>32637</v>
      </c>
      <c r="AZ24" s="318">
        <f>31139+801-38</f>
        <v>31902</v>
      </c>
      <c r="BA24" s="326">
        <f>+AZ24/AY24</f>
        <v>0.977</v>
      </c>
      <c r="BB24" s="323">
        <f t="shared" si="2"/>
        <v>558885</v>
      </c>
      <c r="BC24" s="338">
        <f t="shared" si="2"/>
        <v>574428</v>
      </c>
      <c r="BD24" s="326">
        <f t="shared" si="3"/>
        <v>1.028</v>
      </c>
    </row>
    <row r="25" spans="1:56" ht="12.75">
      <c r="A25" s="440"/>
      <c r="B25" s="441" t="s">
        <v>202</v>
      </c>
      <c r="C25" s="323">
        <f>1250+2800</f>
        <v>4050</v>
      </c>
      <c r="D25" s="318">
        <v>3443</v>
      </c>
      <c r="E25" s="326">
        <f>+D25/C25</f>
        <v>0.85</v>
      </c>
      <c r="F25" s="323">
        <v>5243</v>
      </c>
      <c r="G25" s="318">
        <v>4457</v>
      </c>
      <c r="H25" s="326">
        <f>+G25/F25</f>
        <v>0.85</v>
      </c>
      <c r="I25" s="323">
        <v>5438</v>
      </c>
      <c r="J25" s="318">
        <v>4622</v>
      </c>
      <c r="K25" s="326">
        <f>+J25/I25</f>
        <v>0.85</v>
      </c>
      <c r="L25" s="323">
        <v>5763</v>
      </c>
      <c r="M25" s="318">
        <v>4899</v>
      </c>
      <c r="N25" s="326">
        <f>+M25/L25</f>
        <v>0.85</v>
      </c>
      <c r="O25" s="323">
        <v>7095</v>
      </c>
      <c r="P25" s="318">
        <v>6031</v>
      </c>
      <c r="Q25" s="326">
        <f>+P25/O25</f>
        <v>0.85</v>
      </c>
      <c r="R25" s="323">
        <v>4050</v>
      </c>
      <c r="S25" s="318">
        <v>3443</v>
      </c>
      <c r="T25" s="326">
        <f>+S25/R25</f>
        <v>0.85</v>
      </c>
      <c r="U25" s="323">
        <v>4588</v>
      </c>
      <c r="V25" s="318">
        <v>3900</v>
      </c>
      <c r="W25" s="326">
        <f>+V25/U25</f>
        <v>0.85</v>
      </c>
      <c r="X25" s="323">
        <v>4425</v>
      </c>
      <c r="Y25" s="318">
        <v>3761</v>
      </c>
      <c r="Z25" s="326">
        <f>+Y25/X25</f>
        <v>0.85</v>
      </c>
      <c r="AA25" s="323">
        <v>4600</v>
      </c>
      <c r="AB25" s="318">
        <v>3910</v>
      </c>
      <c r="AC25" s="326">
        <f>+AB25/AA25</f>
        <v>0.85</v>
      </c>
      <c r="AD25" s="323">
        <v>5150</v>
      </c>
      <c r="AE25" s="318">
        <v>4378</v>
      </c>
      <c r="AF25" s="326">
        <f>+AE25/AD25</f>
        <v>0.85</v>
      </c>
      <c r="AG25" s="338">
        <v>6363</v>
      </c>
      <c r="AH25" s="318">
        <v>4066</v>
      </c>
      <c r="AI25" s="326">
        <f>+AH25/AG25</f>
        <v>0.639</v>
      </c>
      <c r="AJ25" s="338">
        <v>8890</v>
      </c>
      <c r="AK25" s="318">
        <v>7557</v>
      </c>
      <c r="AL25" s="326">
        <f>+AK25/AJ25</f>
        <v>0.85</v>
      </c>
      <c r="AM25" s="323">
        <v>6000</v>
      </c>
      <c r="AN25" s="318">
        <v>5100</v>
      </c>
      <c r="AO25" s="326">
        <f>+AN25/AM25</f>
        <v>0.85</v>
      </c>
      <c r="AP25" s="323">
        <v>6416</v>
      </c>
      <c r="AQ25" s="318">
        <v>5454</v>
      </c>
      <c r="AR25" s="326">
        <f>+AQ25/AP25</f>
        <v>0.85</v>
      </c>
      <c r="AS25" s="323">
        <v>8350</v>
      </c>
      <c r="AT25" s="318">
        <v>7098</v>
      </c>
      <c r="AU25" s="326">
        <f>+AT25/AS25</f>
        <v>0.85</v>
      </c>
      <c r="AV25" s="323">
        <v>7420</v>
      </c>
      <c r="AW25" s="318">
        <f>6307-142</f>
        <v>6165</v>
      </c>
      <c r="AX25" s="326">
        <f>+AW25/AV25</f>
        <v>0.831</v>
      </c>
      <c r="AY25" s="323">
        <v>10750</v>
      </c>
      <c r="AZ25" s="318">
        <v>9138</v>
      </c>
      <c r="BA25" s="326">
        <f>+AZ25/AY25</f>
        <v>0.85</v>
      </c>
      <c r="BB25" s="323">
        <f t="shared" si="2"/>
        <v>104591</v>
      </c>
      <c r="BC25" s="338">
        <f t="shared" si="2"/>
        <v>87422</v>
      </c>
      <c r="BD25" s="326">
        <f t="shared" si="3"/>
        <v>0.836</v>
      </c>
    </row>
    <row r="26" spans="1:56" ht="12.75">
      <c r="A26" s="440"/>
      <c r="B26" s="441" t="s">
        <v>203</v>
      </c>
      <c r="C26" s="325"/>
      <c r="D26" s="319"/>
      <c r="E26" s="326"/>
      <c r="F26" s="325"/>
      <c r="G26" s="319"/>
      <c r="H26" s="324"/>
      <c r="I26" s="325"/>
      <c r="J26" s="319"/>
      <c r="K26" s="324"/>
      <c r="L26" s="325"/>
      <c r="M26" s="319"/>
      <c r="N26" s="324"/>
      <c r="O26" s="325"/>
      <c r="P26" s="319"/>
      <c r="Q26" s="324"/>
      <c r="R26" s="325"/>
      <c r="S26" s="319"/>
      <c r="T26" s="324"/>
      <c r="U26" s="325"/>
      <c r="V26" s="319"/>
      <c r="W26" s="324"/>
      <c r="X26" s="325"/>
      <c r="Y26" s="319"/>
      <c r="Z26" s="324"/>
      <c r="AA26" s="325"/>
      <c r="AB26" s="319"/>
      <c r="AC26" s="324"/>
      <c r="AD26" s="325"/>
      <c r="AE26" s="319"/>
      <c r="AF26" s="324"/>
      <c r="AG26" s="337"/>
      <c r="AH26" s="319"/>
      <c r="AI26" s="324"/>
      <c r="AJ26" s="337"/>
      <c r="AK26" s="319"/>
      <c r="AL26" s="324"/>
      <c r="AM26" s="325"/>
      <c r="AN26" s="319"/>
      <c r="AO26" s="324"/>
      <c r="AP26" s="325"/>
      <c r="AQ26" s="319"/>
      <c r="AR26" s="324"/>
      <c r="AS26" s="325"/>
      <c r="AT26" s="319"/>
      <c r="AU26" s="326"/>
      <c r="AV26" s="325"/>
      <c r="AW26" s="319"/>
      <c r="AX26" s="324"/>
      <c r="AY26" s="325"/>
      <c r="AZ26" s="319"/>
      <c r="BA26" s="324"/>
      <c r="BB26" s="323">
        <f t="shared" si="2"/>
        <v>0</v>
      </c>
      <c r="BC26" s="338">
        <f t="shared" si="2"/>
        <v>0</v>
      </c>
      <c r="BD26" s="324"/>
    </row>
    <row r="27" spans="1:56" ht="12.75">
      <c r="A27" s="440"/>
      <c r="B27" s="441" t="s">
        <v>204</v>
      </c>
      <c r="C27" s="325"/>
      <c r="D27" s="319"/>
      <c r="E27" s="324"/>
      <c r="F27" s="325"/>
      <c r="G27" s="319"/>
      <c r="H27" s="324"/>
      <c r="I27" s="325"/>
      <c r="J27" s="319"/>
      <c r="K27" s="324"/>
      <c r="L27" s="325"/>
      <c r="M27" s="319"/>
      <c r="N27" s="324"/>
      <c r="O27" s="325"/>
      <c r="P27" s="319"/>
      <c r="Q27" s="324"/>
      <c r="R27" s="325"/>
      <c r="S27" s="319"/>
      <c r="T27" s="324"/>
      <c r="U27" s="325"/>
      <c r="V27" s="319"/>
      <c r="W27" s="324"/>
      <c r="X27" s="325"/>
      <c r="Y27" s="319"/>
      <c r="Z27" s="324"/>
      <c r="AA27" s="325"/>
      <c r="AB27" s="319"/>
      <c r="AC27" s="324"/>
      <c r="AD27" s="325"/>
      <c r="AE27" s="319"/>
      <c r="AF27" s="324"/>
      <c r="AG27" s="337"/>
      <c r="AH27" s="319"/>
      <c r="AI27" s="324"/>
      <c r="AJ27" s="337"/>
      <c r="AK27" s="319"/>
      <c r="AL27" s="324"/>
      <c r="AM27" s="325"/>
      <c r="AN27" s="319"/>
      <c r="AO27" s="324"/>
      <c r="AP27" s="325"/>
      <c r="AQ27" s="319"/>
      <c r="AR27" s="324"/>
      <c r="AS27" s="325"/>
      <c r="AT27" s="319"/>
      <c r="AU27" s="324"/>
      <c r="AV27" s="325"/>
      <c r="AW27" s="319"/>
      <c r="AX27" s="324"/>
      <c r="AY27" s="325"/>
      <c r="AZ27" s="319"/>
      <c r="BA27" s="324"/>
      <c r="BB27" s="323">
        <f t="shared" si="2"/>
        <v>0</v>
      </c>
      <c r="BC27" s="338">
        <f t="shared" si="2"/>
        <v>0</v>
      </c>
      <c r="BD27" s="324"/>
    </row>
    <row r="28" spans="1:56" ht="12.75">
      <c r="A28" s="440"/>
      <c r="B28" s="441" t="s">
        <v>205</v>
      </c>
      <c r="C28" s="325"/>
      <c r="D28" s="319"/>
      <c r="E28" s="324"/>
      <c r="F28" s="325"/>
      <c r="G28" s="319"/>
      <c r="H28" s="324"/>
      <c r="I28" s="325"/>
      <c r="J28" s="319"/>
      <c r="K28" s="324"/>
      <c r="L28" s="325"/>
      <c r="M28" s="319"/>
      <c r="N28" s="324"/>
      <c r="O28" s="325"/>
      <c r="P28" s="319"/>
      <c r="Q28" s="324"/>
      <c r="R28" s="325"/>
      <c r="S28" s="319"/>
      <c r="T28" s="324"/>
      <c r="U28" s="325"/>
      <c r="V28" s="319"/>
      <c r="W28" s="324"/>
      <c r="X28" s="325"/>
      <c r="Y28" s="319"/>
      <c r="Z28" s="324"/>
      <c r="AA28" s="325"/>
      <c r="AB28" s="319"/>
      <c r="AC28" s="324"/>
      <c r="AD28" s="325"/>
      <c r="AE28" s="319"/>
      <c r="AF28" s="324"/>
      <c r="AG28" s="337"/>
      <c r="AH28" s="319"/>
      <c r="AI28" s="324"/>
      <c r="AJ28" s="337"/>
      <c r="AK28" s="319"/>
      <c r="AL28" s="324"/>
      <c r="AM28" s="325"/>
      <c r="AN28" s="319"/>
      <c r="AO28" s="324"/>
      <c r="AP28" s="325"/>
      <c r="AQ28" s="319"/>
      <c r="AR28" s="324"/>
      <c r="AS28" s="325"/>
      <c r="AT28" s="319"/>
      <c r="AU28" s="324"/>
      <c r="AV28" s="325"/>
      <c r="AW28" s="319"/>
      <c r="AX28" s="324"/>
      <c r="AY28" s="325"/>
      <c r="AZ28" s="319"/>
      <c r="BA28" s="324"/>
      <c r="BB28" s="323">
        <f t="shared" si="2"/>
        <v>0</v>
      </c>
      <c r="BC28" s="338">
        <f t="shared" si="2"/>
        <v>0</v>
      </c>
      <c r="BD28" s="324"/>
    </row>
    <row r="29" spans="1:56" ht="12.75">
      <c r="A29" s="440" t="s">
        <v>66</v>
      </c>
      <c r="B29" s="441" t="s">
        <v>62</v>
      </c>
      <c r="C29" s="325"/>
      <c r="D29" s="319"/>
      <c r="E29" s="324"/>
      <c r="F29" s="325"/>
      <c r="G29" s="319"/>
      <c r="H29" s="324"/>
      <c r="I29" s="325"/>
      <c r="J29" s="319"/>
      <c r="K29" s="324"/>
      <c r="L29" s="325"/>
      <c r="M29" s="319"/>
      <c r="N29" s="324"/>
      <c r="O29" s="325"/>
      <c r="P29" s="319"/>
      <c r="Q29" s="324"/>
      <c r="R29" s="325"/>
      <c r="S29" s="319"/>
      <c r="T29" s="324"/>
      <c r="U29" s="325"/>
      <c r="V29" s="319"/>
      <c r="W29" s="324"/>
      <c r="X29" s="325"/>
      <c r="Y29" s="319"/>
      <c r="Z29" s="324"/>
      <c r="AA29" s="325"/>
      <c r="AB29" s="319"/>
      <c r="AC29" s="324"/>
      <c r="AD29" s="325"/>
      <c r="AE29" s="319"/>
      <c r="AF29" s="324"/>
      <c r="AG29" s="337"/>
      <c r="AH29" s="319"/>
      <c r="AI29" s="324"/>
      <c r="AJ29" s="337"/>
      <c r="AK29" s="319"/>
      <c r="AL29" s="324"/>
      <c r="AM29" s="325"/>
      <c r="AN29" s="319"/>
      <c r="AO29" s="324"/>
      <c r="AP29" s="325"/>
      <c r="AQ29" s="319"/>
      <c r="AR29" s="324"/>
      <c r="AS29" s="325"/>
      <c r="AT29" s="319"/>
      <c r="AU29" s="324"/>
      <c r="AV29" s="325"/>
      <c r="AW29" s="319"/>
      <c r="AX29" s="324"/>
      <c r="AY29" s="325"/>
      <c r="AZ29" s="319"/>
      <c r="BA29" s="324"/>
      <c r="BB29" s="323">
        <f t="shared" si="2"/>
        <v>0</v>
      </c>
      <c r="BC29" s="338">
        <f t="shared" si="2"/>
        <v>0</v>
      </c>
      <c r="BD29" s="324"/>
    </row>
    <row r="30" spans="1:56" ht="12.75">
      <c r="A30" s="440" t="s">
        <v>68</v>
      </c>
      <c r="B30" s="442" t="s">
        <v>446</v>
      </c>
      <c r="C30" s="323"/>
      <c r="D30" s="318"/>
      <c r="E30" s="326"/>
      <c r="F30" s="323"/>
      <c r="G30" s="318"/>
      <c r="H30" s="326"/>
      <c r="I30" s="323"/>
      <c r="J30" s="318"/>
      <c r="K30" s="326"/>
      <c r="L30" s="323"/>
      <c r="M30" s="318"/>
      <c r="N30" s="326"/>
      <c r="O30" s="323"/>
      <c r="P30" s="318"/>
      <c r="Q30" s="326"/>
      <c r="R30" s="323"/>
      <c r="S30" s="318"/>
      <c r="T30" s="326"/>
      <c r="U30" s="323"/>
      <c r="V30" s="318"/>
      <c r="W30" s="326"/>
      <c r="X30" s="323"/>
      <c r="Y30" s="318"/>
      <c r="Z30" s="326"/>
      <c r="AA30" s="323"/>
      <c r="AB30" s="318"/>
      <c r="AC30" s="326"/>
      <c r="AD30" s="323"/>
      <c r="AE30" s="318"/>
      <c r="AF30" s="326"/>
      <c r="AG30" s="338"/>
      <c r="AH30" s="318"/>
      <c r="AI30" s="326"/>
      <c r="AJ30" s="338"/>
      <c r="AK30" s="318"/>
      <c r="AL30" s="326"/>
      <c r="AM30" s="323"/>
      <c r="AN30" s="318"/>
      <c r="AO30" s="326"/>
      <c r="AP30" s="323"/>
      <c r="AQ30" s="318"/>
      <c r="AR30" s="326"/>
      <c r="AS30" s="323"/>
      <c r="AT30" s="318"/>
      <c r="AU30" s="326"/>
      <c r="AV30" s="323"/>
      <c r="AW30" s="318">
        <v>142</v>
      </c>
      <c r="AX30" s="326"/>
      <c r="AY30" s="323"/>
      <c r="AZ30" s="318"/>
      <c r="BA30" s="326"/>
      <c r="BB30" s="323">
        <f t="shared" si="2"/>
        <v>0</v>
      </c>
      <c r="BC30" s="338">
        <f t="shared" si="2"/>
        <v>142</v>
      </c>
      <c r="BD30" s="326"/>
    </row>
    <row r="31" spans="1:56" ht="12.75">
      <c r="A31" s="440" t="s">
        <v>70</v>
      </c>
      <c r="B31" s="441" t="s">
        <v>65</v>
      </c>
      <c r="C31" s="325"/>
      <c r="D31" s="319"/>
      <c r="E31" s="324"/>
      <c r="F31" s="325"/>
      <c r="G31" s="319"/>
      <c r="H31" s="324"/>
      <c r="I31" s="325"/>
      <c r="J31" s="319"/>
      <c r="K31" s="324"/>
      <c r="L31" s="325"/>
      <c r="M31" s="319"/>
      <c r="N31" s="324"/>
      <c r="O31" s="325"/>
      <c r="P31" s="319"/>
      <c r="Q31" s="324"/>
      <c r="R31" s="325"/>
      <c r="S31" s="319"/>
      <c r="T31" s="324"/>
      <c r="U31" s="325"/>
      <c r="V31" s="319"/>
      <c r="W31" s="324"/>
      <c r="X31" s="325"/>
      <c r="Y31" s="319"/>
      <c r="Z31" s="324"/>
      <c r="AA31" s="325"/>
      <c r="AB31" s="319"/>
      <c r="AC31" s="324"/>
      <c r="AD31" s="325"/>
      <c r="AE31" s="319"/>
      <c r="AF31" s="324"/>
      <c r="AG31" s="337"/>
      <c r="AH31" s="319"/>
      <c r="AI31" s="324"/>
      <c r="AJ31" s="337"/>
      <c r="AK31" s="319"/>
      <c r="AL31" s="324"/>
      <c r="AM31" s="325"/>
      <c r="AN31" s="319"/>
      <c r="AO31" s="324"/>
      <c r="AP31" s="325"/>
      <c r="AQ31" s="319"/>
      <c r="AR31" s="324"/>
      <c r="AS31" s="325"/>
      <c r="AT31" s="319"/>
      <c r="AU31" s="324"/>
      <c r="AV31" s="325"/>
      <c r="AW31" s="319"/>
      <c r="AX31" s="324"/>
      <c r="AY31" s="325"/>
      <c r="AZ31" s="319"/>
      <c r="BA31" s="324"/>
      <c r="BB31" s="323">
        <f t="shared" si="2"/>
        <v>0</v>
      </c>
      <c r="BC31" s="338">
        <f t="shared" si="2"/>
        <v>0</v>
      </c>
      <c r="BD31" s="324"/>
    </row>
    <row r="32" spans="1:56" ht="12.75">
      <c r="A32" s="440" t="s">
        <v>183</v>
      </c>
      <c r="B32" s="441" t="s">
        <v>67</v>
      </c>
      <c r="C32" s="328"/>
      <c r="D32" s="320"/>
      <c r="E32" s="326"/>
      <c r="F32" s="328"/>
      <c r="G32" s="320"/>
      <c r="H32" s="326"/>
      <c r="I32" s="328"/>
      <c r="J32" s="320"/>
      <c r="K32" s="326"/>
      <c r="L32" s="328"/>
      <c r="M32" s="320"/>
      <c r="N32" s="326"/>
      <c r="O32" s="328"/>
      <c r="P32" s="320"/>
      <c r="Q32" s="326"/>
      <c r="R32" s="328"/>
      <c r="S32" s="320"/>
      <c r="T32" s="326"/>
      <c r="U32" s="328"/>
      <c r="V32" s="320"/>
      <c r="W32" s="326"/>
      <c r="X32" s="328"/>
      <c r="Y32" s="320"/>
      <c r="Z32" s="326"/>
      <c r="AA32" s="328"/>
      <c r="AB32" s="320"/>
      <c r="AC32" s="326"/>
      <c r="AD32" s="328"/>
      <c r="AE32" s="320"/>
      <c r="AF32" s="326"/>
      <c r="AG32" s="342"/>
      <c r="AH32" s="320"/>
      <c r="AI32" s="326"/>
      <c r="AJ32" s="342"/>
      <c r="AK32" s="320"/>
      <c r="AL32" s="326"/>
      <c r="AM32" s="328"/>
      <c r="AN32" s="320"/>
      <c r="AO32" s="326"/>
      <c r="AP32" s="328"/>
      <c r="AQ32" s="320"/>
      <c r="AR32" s="326"/>
      <c r="AS32" s="328"/>
      <c r="AT32" s="320"/>
      <c r="AU32" s="326"/>
      <c r="AV32" s="328"/>
      <c r="AW32" s="320"/>
      <c r="AX32" s="326"/>
      <c r="AY32" s="328"/>
      <c r="AZ32" s="320"/>
      <c r="BA32" s="326"/>
      <c r="BB32" s="323">
        <f t="shared" si="2"/>
        <v>0</v>
      </c>
      <c r="BC32" s="338">
        <f t="shared" si="2"/>
        <v>0</v>
      </c>
      <c r="BD32" s="324"/>
    </row>
    <row r="33" spans="1:56" ht="13.5" thickBot="1">
      <c r="A33" s="443" t="s">
        <v>184</v>
      </c>
      <c r="B33" s="444" t="s">
        <v>69</v>
      </c>
      <c r="C33" s="353"/>
      <c r="D33" s="334"/>
      <c r="E33" s="352"/>
      <c r="F33" s="353"/>
      <c r="G33" s="334"/>
      <c r="H33" s="352"/>
      <c r="I33" s="353"/>
      <c r="J33" s="334"/>
      <c r="K33" s="352"/>
      <c r="L33" s="353"/>
      <c r="M33" s="334"/>
      <c r="N33" s="352"/>
      <c r="O33" s="353"/>
      <c r="P33" s="334"/>
      <c r="Q33" s="352"/>
      <c r="R33" s="353"/>
      <c r="S33" s="334"/>
      <c r="T33" s="352"/>
      <c r="U33" s="353"/>
      <c r="V33" s="334"/>
      <c r="W33" s="352"/>
      <c r="X33" s="353"/>
      <c r="Y33" s="334"/>
      <c r="Z33" s="352"/>
      <c r="AA33" s="353"/>
      <c r="AB33" s="334"/>
      <c r="AC33" s="352"/>
      <c r="AD33" s="353"/>
      <c r="AE33" s="334"/>
      <c r="AF33" s="352"/>
      <c r="AG33" s="343"/>
      <c r="AH33" s="334"/>
      <c r="AI33" s="352"/>
      <c r="AJ33" s="343"/>
      <c r="AK33" s="334"/>
      <c r="AL33" s="352"/>
      <c r="AM33" s="353"/>
      <c r="AN33" s="334"/>
      <c r="AO33" s="352"/>
      <c r="AP33" s="353"/>
      <c r="AQ33" s="334"/>
      <c r="AR33" s="352"/>
      <c r="AS33" s="353"/>
      <c r="AT33" s="334"/>
      <c r="AU33" s="352"/>
      <c r="AV33" s="353"/>
      <c r="AW33" s="334"/>
      <c r="AX33" s="352"/>
      <c r="AY33" s="353"/>
      <c r="AZ33" s="334"/>
      <c r="BA33" s="352"/>
      <c r="BB33" s="323">
        <f t="shared" si="2"/>
        <v>0</v>
      </c>
      <c r="BC33" s="338">
        <f t="shared" si="2"/>
        <v>0</v>
      </c>
      <c r="BD33" s="363"/>
    </row>
    <row r="34" spans="1:56" s="87" customFormat="1" ht="14.25" thickBot="1" thickTop="1">
      <c r="A34" s="171" t="s">
        <v>468</v>
      </c>
      <c r="B34" s="86" t="s">
        <v>324</v>
      </c>
      <c r="C34" s="354">
        <f>SUM(C22,C29:C33)</f>
        <v>225429</v>
      </c>
      <c r="D34" s="344">
        <f>SUM(D22,D29:D33)</f>
        <v>304192</v>
      </c>
      <c r="E34" s="364">
        <f>+D34/C34</f>
        <v>1.349</v>
      </c>
      <c r="F34" s="354">
        <f>SUM(F22,F29:F33)</f>
        <v>112609</v>
      </c>
      <c r="G34" s="344">
        <f>SUM(G22,G29:G33)</f>
        <v>106896</v>
      </c>
      <c r="H34" s="364">
        <f>+G34/F34</f>
        <v>0.949</v>
      </c>
      <c r="I34" s="354">
        <f>SUM(I22,I29:I33)</f>
        <v>121663</v>
      </c>
      <c r="J34" s="344">
        <f>SUM(J22,J29:J33)</f>
        <v>130466</v>
      </c>
      <c r="K34" s="364">
        <f>+J34/I34</f>
        <v>1.072</v>
      </c>
      <c r="L34" s="354">
        <f>SUM(L22,L29:L33)</f>
        <v>251064</v>
      </c>
      <c r="M34" s="344">
        <f>SUM(M22,M29:M33)</f>
        <v>210621</v>
      </c>
      <c r="N34" s="364">
        <f>+M34/L34</f>
        <v>0.839</v>
      </c>
      <c r="O34" s="354">
        <f>SUM(O22,O29:O33)</f>
        <v>145275</v>
      </c>
      <c r="P34" s="344">
        <f>SUM(P22,P29:P33)</f>
        <v>146674</v>
      </c>
      <c r="Q34" s="364">
        <f>+P34/O34</f>
        <v>1.01</v>
      </c>
      <c r="R34" s="354">
        <f>SUM(R22,R29:R33)</f>
        <v>120051</v>
      </c>
      <c r="S34" s="344">
        <f>SUM(S22,S29:S33)</f>
        <v>122885</v>
      </c>
      <c r="T34" s="364">
        <f>+S34/R34</f>
        <v>1.024</v>
      </c>
      <c r="U34" s="354">
        <f>SUM(U22,U29:U33)</f>
        <v>114975</v>
      </c>
      <c r="V34" s="344">
        <f>SUM(V22,V29:V33)</f>
        <v>120299</v>
      </c>
      <c r="W34" s="364">
        <f>+V34/U34</f>
        <v>1.046</v>
      </c>
      <c r="X34" s="354">
        <f>SUM(X22,X29:X33)</f>
        <v>111674</v>
      </c>
      <c r="Y34" s="344">
        <f>SUM(Y22,Y29:Y33)</f>
        <v>110790</v>
      </c>
      <c r="Z34" s="364">
        <f>+Y34/X34</f>
        <v>0.992</v>
      </c>
      <c r="AA34" s="354">
        <f>SUM(AA22,AA29:AA33)</f>
        <v>108328</v>
      </c>
      <c r="AB34" s="344">
        <f>SUM(AB22,AB29:AB33)</f>
        <v>103145</v>
      </c>
      <c r="AC34" s="364">
        <f>+AB34/AA34</f>
        <v>0.952</v>
      </c>
      <c r="AD34" s="354">
        <f>SUM(AD22,AD29:AD33)</f>
        <v>126324</v>
      </c>
      <c r="AE34" s="344">
        <f>SUM(AE22,AE29:AE33)</f>
        <v>123192</v>
      </c>
      <c r="AF34" s="364">
        <f>+AE34/AD34</f>
        <v>0.975</v>
      </c>
      <c r="AG34" s="344">
        <f>SUM(AG22,AG29:AG33)</f>
        <v>156608</v>
      </c>
      <c r="AH34" s="344">
        <f>SUM(AH22,AH29:AH33)</f>
        <v>163229</v>
      </c>
      <c r="AI34" s="364">
        <f>+AH34/AG34</f>
        <v>1.042</v>
      </c>
      <c r="AJ34" s="344">
        <f>SUM(AJ22,AJ29:AJ33)</f>
        <v>221410</v>
      </c>
      <c r="AK34" s="344">
        <f>SUM(AK22,AK29:AK33)</f>
        <v>174005</v>
      </c>
      <c r="AL34" s="364">
        <f>+AK34/AJ34</f>
        <v>0.786</v>
      </c>
      <c r="AM34" s="354">
        <f>SUM(AM22,AM29:AM33)</f>
        <v>161913</v>
      </c>
      <c r="AN34" s="344">
        <f>SUM(AN22,AN29:AN33)</f>
        <v>188548</v>
      </c>
      <c r="AO34" s="364">
        <f>+AN34/AM34</f>
        <v>1.165</v>
      </c>
      <c r="AP34" s="354">
        <f>SUM(AP22,AP29:AP33)</f>
        <v>172084</v>
      </c>
      <c r="AQ34" s="344">
        <f>SUM(AQ22,AQ29:AQ33)</f>
        <v>185466</v>
      </c>
      <c r="AR34" s="364">
        <f>+AQ34/AP34</f>
        <v>1.078</v>
      </c>
      <c r="AS34" s="354">
        <f>SUM(AS22,AS29:AS33)</f>
        <v>244427</v>
      </c>
      <c r="AT34" s="344">
        <f>SUM(AT22,AT29:AT33)</f>
        <v>238480</v>
      </c>
      <c r="AU34" s="364">
        <f>+AT34/AS34</f>
        <v>0.976</v>
      </c>
      <c r="AV34" s="354">
        <f>SUM(AV22,AV29:AV33)</f>
        <v>198116</v>
      </c>
      <c r="AW34" s="344">
        <f>SUM(AW22,AW29:AW33)</f>
        <v>221721</v>
      </c>
      <c r="AX34" s="364">
        <f>+AW34/AV34</f>
        <v>1.119</v>
      </c>
      <c r="AY34" s="354">
        <f>SUM(AY22,AY29:AY33)</f>
        <v>166881</v>
      </c>
      <c r="AZ34" s="344">
        <f>SUM(AZ22,AZ29:AZ33)</f>
        <v>162929</v>
      </c>
      <c r="BA34" s="364">
        <f>+AZ34/AY34</f>
        <v>0.976</v>
      </c>
      <c r="BB34" s="354">
        <f>SUM(BB22,BB29:BB33)</f>
        <v>2758831</v>
      </c>
      <c r="BC34" s="344">
        <f>SUM(BC22,BC29:BC33)</f>
        <v>2813538</v>
      </c>
      <c r="BD34" s="364">
        <f t="shared" si="3"/>
        <v>1.02</v>
      </c>
    </row>
    <row r="35" spans="1:56" ht="14.25" thickBot="1" thickTop="1">
      <c r="A35" s="458"/>
      <c r="B35" s="500" t="s">
        <v>84</v>
      </c>
      <c r="C35" s="450">
        <f>SUM(C36:C37)</f>
        <v>80.75</v>
      </c>
      <c r="D35" s="450">
        <f>SUM(D36:D37)</f>
        <v>104.75</v>
      </c>
      <c r="E35" s="357">
        <f>+D35/C35</f>
        <v>1.297</v>
      </c>
      <c r="F35" s="457">
        <f>SUM(F36:F37)</f>
        <v>41</v>
      </c>
      <c r="G35" s="450">
        <f>SUM(G36:G37)</f>
        <v>41</v>
      </c>
      <c r="H35" s="357">
        <f>+G35/F35</f>
        <v>1</v>
      </c>
      <c r="I35" s="450">
        <f>SUM(I36:I37)</f>
        <v>47</v>
      </c>
      <c r="J35" s="450">
        <f>SUM(J36:J37)</f>
        <v>50.5</v>
      </c>
      <c r="K35" s="357">
        <f>+J35/I35</f>
        <v>1.074</v>
      </c>
      <c r="L35" s="450">
        <f>SUM(L36:L37)</f>
        <v>95.5</v>
      </c>
      <c r="M35" s="450">
        <f>SUM(M36:M37)</f>
        <v>77</v>
      </c>
      <c r="N35" s="357">
        <f>+M35/L35</f>
        <v>0.806</v>
      </c>
      <c r="O35" s="450">
        <f>SUM(O36:O37)</f>
        <v>51</v>
      </c>
      <c r="P35" s="450">
        <f>SUM(P36:P37)</f>
        <v>51</v>
      </c>
      <c r="Q35" s="357">
        <f>+P35/O35</f>
        <v>1</v>
      </c>
      <c r="R35" s="450">
        <f>SUM(R36:R37)</f>
        <v>45</v>
      </c>
      <c r="S35" s="450">
        <f>SUM(S36:S37)</f>
        <v>46</v>
      </c>
      <c r="T35" s="357">
        <f>+S35/R35</f>
        <v>1.022</v>
      </c>
      <c r="U35" s="450">
        <f>SUM(U36:U37)</f>
        <v>43.5</v>
      </c>
      <c r="V35" s="450">
        <f>SUM(V36:V37)</f>
        <v>45.5</v>
      </c>
      <c r="W35" s="357">
        <f>+V35/U35</f>
        <v>1.046</v>
      </c>
      <c r="X35" s="450">
        <f>SUM(X36:X37)</f>
        <v>41.5</v>
      </c>
      <c r="Y35" s="450">
        <f>SUM(Y36:Y37)</f>
        <v>41</v>
      </c>
      <c r="Z35" s="357">
        <f>+Y35/X35</f>
        <v>0.988</v>
      </c>
      <c r="AA35" s="450">
        <f>SUM(AA36:AA37)</f>
        <v>38</v>
      </c>
      <c r="AB35" s="450">
        <f>SUM(AB36:AB37)</f>
        <v>38</v>
      </c>
      <c r="AC35" s="357">
        <f>+AB35/AA35</f>
        <v>1</v>
      </c>
      <c r="AD35" s="457">
        <f>SUM(AD36:AD37)</f>
        <v>48</v>
      </c>
      <c r="AE35" s="450">
        <f>SUM(AE36:AE37)</f>
        <v>47</v>
      </c>
      <c r="AF35" s="357">
        <f>+AE35/AD35</f>
        <v>0.979</v>
      </c>
      <c r="AG35" s="450">
        <f>SUM(AG36:AG37)</f>
        <v>56</v>
      </c>
      <c r="AH35" s="450">
        <f>SUM(AH36:AH37)</f>
        <v>57.5</v>
      </c>
      <c r="AI35" s="357">
        <f>+AH35/AG35</f>
        <v>1.027</v>
      </c>
      <c r="AJ35" s="450">
        <f>SUM(AJ36:AJ37)</f>
        <v>74</v>
      </c>
      <c r="AK35" s="450">
        <f>SUM(AK36:AK37)</f>
        <v>56</v>
      </c>
      <c r="AL35" s="357">
        <f>+AK35/AJ35</f>
        <v>0.757</v>
      </c>
      <c r="AM35" s="457">
        <f>SUM(AM36:AM37)</f>
        <v>54.25</v>
      </c>
      <c r="AN35" s="450">
        <f>SUM(AN36:AN37)</f>
        <v>54.25</v>
      </c>
      <c r="AO35" s="357">
        <f>+AN35/AM35</f>
        <v>1</v>
      </c>
      <c r="AP35" s="450">
        <f>SUM(AP36:AP37)</f>
        <v>58</v>
      </c>
      <c r="AQ35" s="450">
        <f>SUM(AQ36:AQ37)</f>
        <v>58</v>
      </c>
      <c r="AR35" s="357">
        <f>+AQ35/AP35</f>
        <v>1</v>
      </c>
      <c r="AS35" s="450">
        <f>SUM(AS36:AS37)</f>
        <v>84</v>
      </c>
      <c r="AT35" s="450">
        <f>SUM(AT36:AT37)</f>
        <v>82</v>
      </c>
      <c r="AU35" s="357">
        <f>+AT35/AS35</f>
        <v>0.976</v>
      </c>
      <c r="AV35" s="457">
        <f>SUM(AV36:AV37)</f>
        <v>75</v>
      </c>
      <c r="AW35" s="450">
        <f>SUM(AW36:AW37)</f>
        <v>77</v>
      </c>
      <c r="AX35" s="357">
        <f>+AW35/AV35</f>
        <v>1.027</v>
      </c>
      <c r="AY35" s="450">
        <f>SUM(AY36:AY37)</f>
        <v>50.5</v>
      </c>
      <c r="AZ35" s="450">
        <f>SUM(AZ36:AZ37)</f>
        <v>50.5</v>
      </c>
      <c r="BA35" s="357">
        <f>+AZ35/AY35</f>
        <v>1</v>
      </c>
      <c r="BB35" s="450">
        <f>SUM(BB36:BB37)</f>
        <v>983</v>
      </c>
      <c r="BC35" s="450">
        <f>SUM(BC36:BC37)</f>
        <v>977</v>
      </c>
      <c r="BD35" s="364">
        <f t="shared" si="3"/>
        <v>0.994</v>
      </c>
    </row>
    <row r="36" spans="1:56" ht="13.5" thickTop="1">
      <c r="A36" s="446"/>
      <c r="B36" s="447" t="s">
        <v>331</v>
      </c>
      <c r="C36" s="454">
        <f>30+30.5</f>
        <v>60.5</v>
      </c>
      <c r="D36" s="455">
        <v>83.5</v>
      </c>
      <c r="E36" s="361">
        <f>+D36/C36</f>
        <v>1.38</v>
      </c>
      <c r="F36" s="454">
        <v>33.5</v>
      </c>
      <c r="G36" s="455">
        <v>33.5</v>
      </c>
      <c r="H36" s="361">
        <f>+G36/F36</f>
        <v>1</v>
      </c>
      <c r="I36" s="455">
        <v>36.5</v>
      </c>
      <c r="J36" s="455">
        <v>40</v>
      </c>
      <c r="K36" s="361">
        <f>+J36/I36</f>
        <v>1.096</v>
      </c>
      <c r="L36" s="455">
        <v>70.5</v>
      </c>
      <c r="M36" s="455">
        <v>60</v>
      </c>
      <c r="N36" s="361">
        <f>+M36/L36</f>
        <v>0.851</v>
      </c>
      <c r="O36" s="455">
        <v>41</v>
      </c>
      <c r="P36" s="455">
        <v>41</v>
      </c>
      <c r="Q36" s="361">
        <f>+P36/O36</f>
        <v>1</v>
      </c>
      <c r="R36" s="455">
        <v>35</v>
      </c>
      <c r="S36" s="455">
        <v>36</v>
      </c>
      <c r="T36" s="361">
        <f>+S36/R36</f>
        <v>1.029</v>
      </c>
      <c r="U36" s="455">
        <v>33</v>
      </c>
      <c r="V36" s="455">
        <v>35</v>
      </c>
      <c r="W36" s="361">
        <f>+V36/U36</f>
        <v>1.061</v>
      </c>
      <c r="X36" s="455">
        <v>32.5</v>
      </c>
      <c r="Y36" s="455">
        <v>32</v>
      </c>
      <c r="Z36" s="361">
        <f>+Y36/X36</f>
        <v>0.985</v>
      </c>
      <c r="AA36" s="455">
        <v>31</v>
      </c>
      <c r="AB36" s="455">
        <v>31</v>
      </c>
      <c r="AC36" s="361">
        <f>+AB36/AA36</f>
        <v>1</v>
      </c>
      <c r="AD36" s="454">
        <v>36</v>
      </c>
      <c r="AE36" s="455">
        <v>35</v>
      </c>
      <c r="AF36" s="361">
        <f>+AE36/AD36</f>
        <v>0.972</v>
      </c>
      <c r="AG36" s="455">
        <v>42.5</v>
      </c>
      <c r="AH36" s="455">
        <v>44</v>
      </c>
      <c r="AI36" s="361">
        <f>+AH36/AG36</f>
        <v>1.035</v>
      </c>
      <c r="AJ36" s="455">
        <v>53</v>
      </c>
      <c r="AK36" s="455">
        <v>43</v>
      </c>
      <c r="AL36" s="361">
        <f>+AK36/AJ36</f>
        <v>0.811</v>
      </c>
      <c r="AM36" s="454">
        <v>41</v>
      </c>
      <c r="AN36" s="455">
        <v>41</v>
      </c>
      <c r="AO36" s="361">
        <f>+AN36/AM36</f>
        <v>1</v>
      </c>
      <c r="AP36" s="455">
        <v>41.5</v>
      </c>
      <c r="AQ36" s="455">
        <v>41.5</v>
      </c>
      <c r="AR36" s="361">
        <f>+AQ36/AP36</f>
        <v>1</v>
      </c>
      <c r="AS36" s="455">
        <v>66</v>
      </c>
      <c r="AT36" s="455">
        <v>64</v>
      </c>
      <c r="AU36" s="361">
        <f>+AT36/AS36</f>
        <v>0.97</v>
      </c>
      <c r="AV36" s="454">
        <v>57</v>
      </c>
      <c r="AW36" s="455">
        <v>59</v>
      </c>
      <c r="AX36" s="361">
        <f>+AW36/AV36</f>
        <v>1.035</v>
      </c>
      <c r="AY36" s="455">
        <v>46.5</v>
      </c>
      <c r="AZ36" s="455">
        <v>46.5</v>
      </c>
      <c r="BA36" s="361">
        <f>+AZ36/AY36</f>
        <v>1</v>
      </c>
      <c r="BB36" s="455">
        <f>SUM(C36,F36,I36,L36,O36,R36,U36,AG36,AD36,AA36,X36)+AJ36+AM36+AP36+AS36+AV36+AY36</f>
        <v>757</v>
      </c>
      <c r="BC36" s="455">
        <f>SUM(D36,G36,J36,M36,P36,S36,V36,AH36,AE36,AB36,Y36)+AK36+AN36+AQ36+AT36+AW36+AZ36</f>
        <v>766</v>
      </c>
      <c r="BD36" s="361">
        <f t="shared" si="3"/>
        <v>1.012</v>
      </c>
    </row>
    <row r="37" spans="1:56" ht="13.5" thickBot="1">
      <c r="A37" s="448"/>
      <c r="B37" s="449" t="s">
        <v>332</v>
      </c>
      <c r="C37" s="456">
        <f>14+6.25</f>
        <v>20.25</v>
      </c>
      <c r="D37" s="452">
        <v>21.25</v>
      </c>
      <c r="E37" s="362">
        <f>+D37/C37</f>
        <v>1.049</v>
      </c>
      <c r="F37" s="456">
        <v>7.5</v>
      </c>
      <c r="G37" s="452">
        <v>7.5</v>
      </c>
      <c r="H37" s="362">
        <f>+G37/F37</f>
        <v>1</v>
      </c>
      <c r="I37" s="452">
        <v>10.5</v>
      </c>
      <c r="J37" s="452">
        <v>10.5</v>
      </c>
      <c r="K37" s="362">
        <f>+J37/I37</f>
        <v>1</v>
      </c>
      <c r="L37" s="452">
        <v>25</v>
      </c>
      <c r="M37" s="452">
        <v>17</v>
      </c>
      <c r="N37" s="362">
        <f>+M37/L37</f>
        <v>0.68</v>
      </c>
      <c r="O37" s="452">
        <v>10</v>
      </c>
      <c r="P37" s="452">
        <v>10</v>
      </c>
      <c r="Q37" s="362">
        <f>+P37/O37</f>
        <v>1</v>
      </c>
      <c r="R37" s="452">
        <v>10</v>
      </c>
      <c r="S37" s="452">
        <v>10</v>
      </c>
      <c r="T37" s="362">
        <f>+S37/R37</f>
        <v>1</v>
      </c>
      <c r="U37" s="452">
        <v>10.5</v>
      </c>
      <c r="V37" s="452">
        <v>10.5</v>
      </c>
      <c r="W37" s="362">
        <f>+V37/U37</f>
        <v>1</v>
      </c>
      <c r="X37" s="452">
        <v>9</v>
      </c>
      <c r="Y37" s="452">
        <v>9</v>
      </c>
      <c r="Z37" s="362">
        <f>+Y37/X37</f>
        <v>1</v>
      </c>
      <c r="AA37" s="452">
        <v>7</v>
      </c>
      <c r="AB37" s="452">
        <v>7</v>
      </c>
      <c r="AC37" s="362">
        <f>+AB37/AA37</f>
        <v>1</v>
      </c>
      <c r="AD37" s="456">
        <v>12</v>
      </c>
      <c r="AE37" s="452">
        <v>12</v>
      </c>
      <c r="AF37" s="362">
        <f>+AE37/AD37</f>
        <v>1</v>
      </c>
      <c r="AG37" s="452">
        <v>13.5</v>
      </c>
      <c r="AH37" s="452">
        <v>13.5</v>
      </c>
      <c r="AI37" s="362">
        <f>+AH37/AG37</f>
        <v>1</v>
      </c>
      <c r="AJ37" s="452">
        <v>21</v>
      </c>
      <c r="AK37" s="452">
        <v>13</v>
      </c>
      <c r="AL37" s="362">
        <f>+AK37/AJ37</f>
        <v>0.619</v>
      </c>
      <c r="AM37" s="456">
        <v>13.25</v>
      </c>
      <c r="AN37" s="452">
        <v>13.25</v>
      </c>
      <c r="AO37" s="362">
        <f>+AN37/AM37</f>
        <v>1</v>
      </c>
      <c r="AP37" s="452">
        <v>16.5</v>
      </c>
      <c r="AQ37" s="452">
        <v>16.5</v>
      </c>
      <c r="AR37" s="362">
        <f>+AQ37/AP37</f>
        <v>1</v>
      </c>
      <c r="AS37" s="452">
        <v>18</v>
      </c>
      <c r="AT37" s="452">
        <v>18</v>
      </c>
      <c r="AU37" s="362">
        <f>+AT37/AS37</f>
        <v>1</v>
      </c>
      <c r="AV37" s="456">
        <v>18</v>
      </c>
      <c r="AW37" s="452">
        <v>18</v>
      </c>
      <c r="AX37" s="362">
        <f>+AW37/AV37</f>
        <v>1</v>
      </c>
      <c r="AY37" s="452">
        <v>4</v>
      </c>
      <c r="AZ37" s="452">
        <v>4</v>
      </c>
      <c r="BA37" s="362">
        <f>+AZ37/AY37</f>
        <v>1</v>
      </c>
      <c r="BB37" s="452">
        <f>SUM(C37,F37,I37,L37,O37,R37,U37,AG37,AD37,AA37,X37)+AJ37+AM37+AP37+AS37+AV37+AY37</f>
        <v>226</v>
      </c>
      <c r="BC37" s="452">
        <f>SUM(D37,G37,J37,M37,P37,S37,V37,AH37,AE37,AB37,Y37)+AK37+AN37+AQ37+AT37+AW37+AZ37</f>
        <v>211</v>
      </c>
      <c r="BD37" s="362">
        <f t="shared" si="3"/>
        <v>0.934</v>
      </c>
    </row>
    <row r="38" ht="13.5" thickTop="1"/>
  </sheetData>
  <sheetProtection/>
  <mergeCells count="20">
    <mergeCell ref="A3:B3"/>
    <mergeCell ref="A1:B2"/>
    <mergeCell ref="C1:E2"/>
    <mergeCell ref="F1:H2"/>
    <mergeCell ref="I1:K2"/>
    <mergeCell ref="AD1:AF2"/>
    <mergeCell ref="AG1:AI2"/>
    <mergeCell ref="U1:W2"/>
    <mergeCell ref="X1:Z2"/>
    <mergeCell ref="AA1:AC2"/>
    <mergeCell ref="L1:N2"/>
    <mergeCell ref="O1:Q2"/>
    <mergeCell ref="R1:T2"/>
    <mergeCell ref="AJ1:AL2"/>
    <mergeCell ref="AM1:AO2"/>
    <mergeCell ref="BB1:BD2"/>
    <mergeCell ref="AP1:AR2"/>
    <mergeCell ref="AS1:AU2"/>
    <mergeCell ref="AV1:AX2"/>
    <mergeCell ref="AY1:BA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2"/>
  <headerFooter alignWithMargins="0">
    <oddHeader>&amp;C&amp;"Times New Roman,Félkövér"A  9/2012. (II. 24.)  önko. rendelethez a Budapest Főváros IV. ker. Újpest Önkormányzat Gazdasági Intézményhez tatozó iskolák bevételeiről és kiadásairól&amp;R&amp;"Times New Roman,Normál"
2.a.2. sz. melléklet
eFt-b&amp;"Arial,Normál"an</oddHeader>
    <oddFooter>&amp;C&amp;P</oddFooter>
  </headerFooter>
  <colBreaks count="5" manualBreakCount="5">
    <brk id="11" max="65535" man="1"/>
    <brk id="20" max="65535" man="1"/>
    <brk id="29" max="65535" man="1"/>
    <brk id="38" max="65535" man="1"/>
    <brk id="4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pane xSplit="4950" topLeftCell="M1" activePane="topLeft" state="split"/>
      <selection pane="topLeft" activeCell="A1" sqref="A1:B3"/>
      <selection pane="topRight" activeCell="A1" sqref="A1:B2"/>
    </sheetView>
  </sheetViews>
  <sheetFormatPr defaultColWidth="9.140625" defaultRowHeight="12.75"/>
  <cols>
    <col min="1" max="1" width="9.140625" style="1" customWidth="1"/>
    <col min="2" max="2" width="37.140625" style="1" customWidth="1"/>
    <col min="3" max="3" width="12.8515625" style="1" customWidth="1"/>
    <col min="4" max="4" width="12.57421875" style="1" customWidth="1"/>
    <col min="5" max="5" width="12.8515625" style="1" customWidth="1"/>
    <col min="6" max="7" width="12.7109375" style="1" customWidth="1"/>
    <col min="8" max="8" width="10.57421875" style="1" customWidth="1"/>
    <col min="9" max="10" width="12.7109375" style="1" customWidth="1"/>
    <col min="11" max="11" width="10.57421875" style="1" customWidth="1"/>
    <col min="12" max="13" width="12.7109375" style="1" customWidth="1"/>
    <col min="14" max="14" width="10.57421875" style="1" customWidth="1"/>
    <col min="15" max="16" width="12.7109375" style="1" customWidth="1"/>
    <col min="17" max="17" width="10.57421875" style="1" customWidth="1"/>
    <col min="18" max="18" width="11.421875" style="1" customWidth="1"/>
    <col min="19" max="19" width="10.8515625" style="1" customWidth="1"/>
    <col min="20" max="20" width="9.140625" style="1" customWidth="1"/>
    <col min="21" max="21" width="10.140625" style="1" customWidth="1"/>
    <col min="22" max="22" width="9.140625" style="1" customWidth="1"/>
    <col min="23" max="23" width="15.00390625" style="149" bestFit="1" customWidth="1"/>
    <col min="24" max="16384" width="9.140625" style="1" customWidth="1"/>
  </cols>
  <sheetData>
    <row r="1" spans="1:23" s="38" customFormat="1" ht="12.75" customHeight="1">
      <c r="A1" s="721" t="s">
        <v>325</v>
      </c>
      <c r="B1" s="717"/>
      <c r="C1" s="716" t="s">
        <v>385</v>
      </c>
      <c r="D1" s="717"/>
      <c r="E1" s="717"/>
      <c r="F1" s="722" t="s">
        <v>75</v>
      </c>
      <c r="G1" s="723"/>
      <c r="H1" s="724"/>
      <c r="I1" s="716" t="s">
        <v>445</v>
      </c>
      <c r="J1" s="717"/>
      <c r="K1" s="717"/>
      <c r="L1" s="716" t="s">
        <v>85</v>
      </c>
      <c r="M1" s="717"/>
      <c r="N1" s="717"/>
      <c r="O1" s="716" t="s">
        <v>286</v>
      </c>
      <c r="P1" s="717"/>
      <c r="Q1" s="717"/>
      <c r="R1" s="716" t="s">
        <v>319</v>
      </c>
      <c r="S1" s="717"/>
      <c r="T1" s="717"/>
      <c r="W1" s="147"/>
    </row>
    <row r="2" spans="1:23" s="39" customFormat="1" ht="12.75">
      <c r="A2" s="720"/>
      <c r="B2" s="703"/>
      <c r="C2" s="707"/>
      <c r="D2" s="707"/>
      <c r="E2" s="707"/>
      <c r="F2" s="725"/>
      <c r="G2" s="726"/>
      <c r="H2" s="72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W2" s="148"/>
    </row>
    <row r="3" spans="1:23" s="39" customFormat="1" ht="30" customHeight="1" thickBot="1">
      <c r="A3" s="720" t="s">
        <v>72</v>
      </c>
      <c r="B3" s="703"/>
      <c r="C3" s="346" t="s">
        <v>316</v>
      </c>
      <c r="D3" s="332" t="s">
        <v>318</v>
      </c>
      <c r="E3" s="345" t="s">
        <v>35</v>
      </c>
      <c r="F3" s="335" t="s">
        <v>316</v>
      </c>
      <c r="G3" s="332" t="s">
        <v>318</v>
      </c>
      <c r="H3" s="345" t="s">
        <v>35</v>
      </c>
      <c r="I3" s="335" t="s">
        <v>316</v>
      </c>
      <c r="J3" s="332" t="s">
        <v>318</v>
      </c>
      <c r="K3" s="345" t="s">
        <v>35</v>
      </c>
      <c r="L3" s="335" t="s">
        <v>316</v>
      </c>
      <c r="M3" s="332" t="s">
        <v>318</v>
      </c>
      <c r="N3" s="345" t="s">
        <v>35</v>
      </c>
      <c r="O3" s="335" t="s">
        <v>316</v>
      </c>
      <c r="P3" s="332" t="s">
        <v>318</v>
      </c>
      <c r="Q3" s="345" t="s">
        <v>35</v>
      </c>
      <c r="R3" s="335" t="s">
        <v>316</v>
      </c>
      <c r="S3" s="332" t="s">
        <v>318</v>
      </c>
      <c r="T3" s="345" t="s">
        <v>35</v>
      </c>
      <c r="W3" s="148"/>
    </row>
    <row r="4" spans="1:20" ht="13.5" thickBot="1">
      <c r="A4" s="160" t="s">
        <v>37</v>
      </c>
      <c r="B4" s="321"/>
      <c r="C4" s="335"/>
      <c r="D4" s="332"/>
      <c r="E4" s="345"/>
      <c r="F4" s="335"/>
      <c r="G4" s="332"/>
      <c r="H4" s="345"/>
      <c r="I4" s="335"/>
      <c r="J4" s="332"/>
      <c r="K4" s="345"/>
      <c r="L4" s="335"/>
      <c r="M4" s="332"/>
      <c r="N4" s="345"/>
      <c r="O4" s="335"/>
      <c r="P4" s="332"/>
      <c r="Q4" s="369"/>
      <c r="R4" s="370"/>
      <c r="S4" s="332"/>
      <c r="T4" s="345"/>
    </row>
    <row r="5" spans="1:23" s="87" customFormat="1" ht="12.75">
      <c r="A5" s="672" t="s">
        <v>38</v>
      </c>
      <c r="B5" s="89" t="s">
        <v>39</v>
      </c>
      <c r="C5" s="366">
        <f>SUM(C6:C8)</f>
        <v>55880</v>
      </c>
      <c r="D5" s="673">
        <f>SUM(D6:D8)</f>
        <v>56036</v>
      </c>
      <c r="E5" s="324">
        <f>+D5/C5</f>
        <v>1.003</v>
      </c>
      <c r="F5" s="325">
        <f>SUM(F6:F8)</f>
        <v>196800</v>
      </c>
      <c r="G5" s="319">
        <f>SUM(G6:G8)</f>
        <v>205000</v>
      </c>
      <c r="H5" s="324">
        <f>+G5/F5</f>
        <v>1.042</v>
      </c>
      <c r="I5" s="325">
        <f>SUM(I6:I8)</f>
        <v>0</v>
      </c>
      <c r="J5" s="319">
        <f>SUM(J6:J8)</f>
        <v>0</v>
      </c>
      <c r="K5" s="324"/>
      <c r="L5" s="337">
        <f>SUM(L6:L8)</f>
        <v>483619</v>
      </c>
      <c r="M5" s="319">
        <f>SUM(M6:M8)</f>
        <v>532850</v>
      </c>
      <c r="N5" s="368">
        <f>+M5/L5</f>
        <v>1.102</v>
      </c>
      <c r="O5" s="366">
        <f>SUM(F5+I5+L5)</f>
        <v>680419</v>
      </c>
      <c r="P5" s="337">
        <f>SUM(G5+J5+M5)</f>
        <v>737850</v>
      </c>
      <c r="Q5" s="324">
        <f>+P5/O5</f>
        <v>1.084</v>
      </c>
      <c r="R5" s="325">
        <f>O5+C5</f>
        <v>736299</v>
      </c>
      <c r="S5" s="337">
        <f>P5+D5</f>
        <v>793886</v>
      </c>
      <c r="T5" s="324">
        <f>+S5/R5</f>
        <v>1.078</v>
      </c>
      <c r="W5" s="150"/>
    </row>
    <row r="6" spans="1:20" ht="12.75">
      <c r="A6" s="77"/>
      <c r="B6" s="78" t="s">
        <v>40</v>
      </c>
      <c r="C6" s="323">
        <f>'2.a.1.óvodák'!AS6+'2.a.2.iskolák'!BB6</f>
        <v>55880</v>
      </c>
      <c r="D6" s="338">
        <f>'2.a.1.óvodák'!AT6+'2.a.2.iskolák'!BC6</f>
        <v>56036</v>
      </c>
      <c r="E6" s="326">
        <f>+D6/C6</f>
        <v>1.003</v>
      </c>
      <c r="F6" s="323">
        <v>196800</v>
      </c>
      <c r="G6" s="318">
        <v>205000</v>
      </c>
      <c r="H6" s="326">
        <f>+G6/F6</f>
        <v>1.042</v>
      </c>
      <c r="I6" s="323"/>
      <c r="J6" s="318"/>
      <c r="K6" s="326"/>
      <c r="L6" s="338">
        <v>483619</v>
      </c>
      <c r="M6" s="318">
        <v>532850</v>
      </c>
      <c r="N6" s="326">
        <f>+M6/L6</f>
        <v>1.102</v>
      </c>
      <c r="O6" s="323">
        <f aca="true" t="shared" si="0" ref="O6:O20">SUM(F6+I6+L6)</f>
        <v>680419</v>
      </c>
      <c r="P6" s="338">
        <f aca="true" t="shared" si="1" ref="P6:P34">SUM(G6+J6+M6)</f>
        <v>737850</v>
      </c>
      <c r="Q6" s="326">
        <f>+P6/O6</f>
        <v>1.084</v>
      </c>
      <c r="R6" s="323">
        <f aca="true" t="shared" si="2" ref="R6:R34">O6+C6</f>
        <v>736299</v>
      </c>
      <c r="S6" s="338">
        <f aca="true" t="shared" si="3" ref="S6:S34">P6+D6</f>
        <v>793886</v>
      </c>
      <c r="T6" s="326">
        <f>+S6/R6</f>
        <v>1.078</v>
      </c>
    </row>
    <row r="7" spans="1:20" ht="12.75">
      <c r="A7" s="77"/>
      <c r="B7" s="78" t="s">
        <v>41</v>
      </c>
      <c r="C7" s="323">
        <f>'2.a.1.óvodák'!AS7+'2.a.2.iskolák'!BB7</f>
        <v>0</v>
      </c>
      <c r="D7" s="338">
        <f>'2.a.1.óvodák'!AT7+'2.a.2.iskolák'!BC7</f>
        <v>0</v>
      </c>
      <c r="E7" s="326"/>
      <c r="F7" s="323"/>
      <c r="G7" s="318"/>
      <c r="H7" s="326"/>
      <c r="I7" s="323"/>
      <c r="J7" s="318"/>
      <c r="K7" s="326"/>
      <c r="L7" s="338"/>
      <c r="M7" s="318"/>
      <c r="N7" s="326"/>
      <c r="O7" s="323">
        <f t="shared" si="0"/>
        <v>0</v>
      </c>
      <c r="P7" s="338">
        <f t="shared" si="1"/>
        <v>0</v>
      </c>
      <c r="Q7" s="326"/>
      <c r="R7" s="323">
        <f t="shared" si="2"/>
        <v>0</v>
      </c>
      <c r="S7" s="338">
        <f t="shared" si="3"/>
        <v>0</v>
      </c>
      <c r="T7" s="326"/>
    </row>
    <row r="8" spans="1:20" ht="12.75">
      <c r="A8" s="77"/>
      <c r="B8" s="78" t="s">
        <v>42</v>
      </c>
      <c r="C8" s="323">
        <f>'2.a.1.óvodák'!AS8+'2.a.2.iskolák'!BB8</f>
        <v>0</v>
      </c>
      <c r="D8" s="338">
        <f>'2.a.1.óvodák'!AT8+'2.a.2.iskolák'!BC8</f>
        <v>0</v>
      </c>
      <c r="E8" s="326"/>
      <c r="F8" s="323"/>
      <c r="G8" s="318"/>
      <c r="H8" s="326"/>
      <c r="I8" s="323"/>
      <c r="J8" s="318"/>
      <c r="K8" s="326"/>
      <c r="L8" s="338"/>
      <c r="M8" s="318"/>
      <c r="N8" s="326"/>
      <c r="O8" s="323">
        <f t="shared" si="0"/>
        <v>0</v>
      </c>
      <c r="P8" s="338">
        <f t="shared" si="1"/>
        <v>0</v>
      </c>
      <c r="Q8" s="326"/>
      <c r="R8" s="323">
        <f t="shared" si="2"/>
        <v>0</v>
      </c>
      <c r="S8" s="338">
        <f t="shared" si="3"/>
        <v>0</v>
      </c>
      <c r="T8" s="326"/>
    </row>
    <row r="9" spans="1:20" ht="12.75">
      <c r="A9" s="77" t="s">
        <v>43</v>
      </c>
      <c r="B9" s="78" t="s">
        <v>44</v>
      </c>
      <c r="C9" s="323">
        <f>'2.a.1.óvodák'!AS9+'2.a.2.iskolák'!BB9</f>
        <v>0</v>
      </c>
      <c r="D9" s="338">
        <f>'2.a.1.óvodák'!AT9+'2.a.2.iskolák'!BC9</f>
        <v>0</v>
      </c>
      <c r="E9" s="326"/>
      <c r="F9" s="323"/>
      <c r="G9" s="318"/>
      <c r="H9" s="326"/>
      <c r="I9" s="323"/>
      <c r="J9" s="318"/>
      <c r="K9" s="326"/>
      <c r="L9" s="338"/>
      <c r="M9" s="318"/>
      <c r="N9" s="326"/>
      <c r="O9" s="323">
        <f t="shared" si="0"/>
        <v>0</v>
      </c>
      <c r="P9" s="338">
        <f t="shared" si="1"/>
        <v>0</v>
      </c>
      <c r="Q9" s="326"/>
      <c r="R9" s="323">
        <f t="shared" si="2"/>
        <v>0</v>
      </c>
      <c r="S9" s="338">
        <f t="shared" si="3"/>
        <v>0</v>
      </c>
      <c r="T9" s="326"/>
    </row>
    <row r="10" spans="1:20" ht="12.75">
      <c r="A10" s="77" t="s">
        <v>45</v>
      </c>
      <c r="B10" s="78" t="s">
        <v>46</v>
      </c>
      <c r="C10" s="323">
        <f>'2.a.1.óvodák'!AS10+'2.a.2.iskolák'!BB10</f>
        <v>0</v>
      </c>
      <c r="D10" s="338">
        <f>'2.a.1.óvodák'!AT10+'2.a.2.iskolák'!BC10</f>
        <v>0</v>
      </c>
      <c r="E10" s="326"/>
      <c r="F10" s="323"/>
      <c r="G10" s="318"/>
      <c r="H10" s="326"/>
      <c r="I10" s="323"/>
      <c r="J10" s="318"/>
      <c r="K10" s="326"/>
      <c r="L10" s="338"/>
      <c r="M10" s="318"/>
      <c r="N10" s="326"/>
      <c r="O10" s="323">
        <f t="shared" si="0"/>
        <v>0</v>
      </c>
      <c r="P10" s="338">
        <f t="shared" si="1"/>
        <v>0</v>
      </c>
      <c r="Q10" s="326"/>
      <c r="R10" s="323">
        <f t="shared" si="2"/>
        <v>0</v>
      </c>
      <c r="S10" s="338">
        <f t="shared" si="3"/>
        <v>0</v>
      </c>
      <c r="T10" s="326"/>
    </row>
    <row r="11" spans="1:20" ht="12.75">
      <c r="A11" s="77" t="s">
        <v>47</v>
      </c>
      <c r="B11" s="78" t="s">
        <v>48</v>
      </c>
      <c r="C11" s="323">
        <f>'2.a.1.óvodák'!AS11+'2.a.2.iskolák'!BB11</f>
        <v>0</v>
      </c>
      <c r="D11" s="338">
        <f>'2.a.1.óvodák'!AT11+'2.a.2.iskolák'!BC11</f>
        <v>0</v>
      </c>
      <c r="E11" s="326"/>
      <c r="F11" s="323"/>
      <c r="G11" s="318"/>
      <c r="H11" s="326"/>
      <c r="I11" s="323"/>
      <c r="J11" s="318"/>
      <c r="K11" s="326"/>
      <c r="L11" s="338"/>
      <c r="M11" s="318"/>
      <c r="N11" s="326"/>
      <c r="O11" s="323">
        <f t="shared" si="0"/>
        <v>0</v>
      </c>
      <c r="P11" s="338">
        <f t="shared" si="1"/>
        <v>0</v>
      </c>
      <c r="Q11" s="326"/>
      <c r="R11" s="323">
        <f t="shared" si="2"/>
        <v>0</v>
      </c>
      <c r="S11" s="338">
        <f t="shared" si="3"/>
        <v>0</v>
      </c>
      <c r="T11" s="326"/>
    </row>
    <row r="12" spans="1:20" ht="12.75">
      <c r="A12" s="77" t="s">
        <v>36</v>
      </c>
      <c r="B12" s="78" t="s">
        <v>49</v>
      </c>
      <c r="C12" s="323">
        <f>'2.a.1.óvodák'!AS12+'2.a.2.iskolák'!BB12</f>
        <v>9430</v>
      </c>
      <c r="D12" s="338">
        <f>'2.a.1.óvodák'!AT12+'2.a.2.iskolák'!BC12</f>
        <v>10432</v>
      </c>
      <c r="E12" s="326">
        <f>+D12/C12</f>
        <v>1.106</v>
      </c>
      <c r="F12" s="323">
        <v>49200</v>
      </c>
      <c r="G12" s="318">
        <v>52275</v>
      </c>
      <c r="H12" s="326">
        <f>+G12/F12</f>
        <v>1.063</v>
      </c>
      <c r="I12" s="323"/>
      <c r="J12" s="318"/>
      <c r="K12" s="326"/>
      <c r="L12" s="338">
        <v>116150</v>
      </c>
      <c r="M12" s="318">
        <v>136269</v>
      </c>
      <c r="N12" s="326">
        <f>+M12/L12</f>
        <v>1.173</v>
      </c>
      <c r="O12" s="323">
        <f t="shared" si="0"/>
        <v>165350</v>
      </c>
      <c r="P12" s="338">
        <f t="shared" si="1"/>
        <v>188544</v>
      </c>
      <c r="Q12" s="326">
        <f>+P12/O12</f>
        <v>1.14</v>
      </c>
      <c r="R12" s="323">
        <f t="shared" si="2"/>
        <v>174780</v>
      </c>
      <c r="S12" s="338">
        <f t="shared" si="3"/>
        <v>198976</v>
      </c>
      <c r="T12" s="326">
        <f>+S12/R12</f>
        <v>1.138</v>
      </c>
    </row>
    <row r="13" spans="1:22" ht="12.75">
      <c r="A13" s="77" t="s">
        <v>50</v>
      </c>
      <c r="B13" s="78" t="s">
        <v>51</v>
      </c>
      <c r="C13" s="323">
        <f>'2.a.1.óvodák'!AS13+'2.a.2.iskolák'!BB13</f>
        <v>0</v>
      </c>
      <c r="D13" s="338">
        <f>'2.a.1.óvodák'!AT13+'2.a.2.iskolák'!BC13</f>
        <v>0</v>
      </c>
      <c r="E13" s="326"/>
      <c r="F13" s="323"/>
      <c r="G13" s="318"/>
      <c r="H13" s="326"/>
      <c r="I13" s="323"/>
      <c r="J13" s="318"/>
      <c r="K13" s="326"/>
      <c r="L13" s="338"/>
      <c r="M13" s="318"/>
      <c r="N13" s="326"/>
      <c r="O13" s="323">
        <f t="shared" si="0"/>
        <v>0</v>
      </c>
      <c r="P13" s="338">
        <f t="shared" si="1"/>
        <v>0</v>
      </c>
      <c r="Q13" s="326"/>
      <c r="R13" s="323">
        <f t="shared" si="2"/>
        <v>0</v>
      </c>
      <c r="S13" s="338">
        <f t="shared" si="3"/>
        <v>0</v>
      </c>
      <c r="T13" s="326"/>
      <c r="U13" s="22"/>
      <c r="V13" s="22"/>
    </row>
    <row r="14" spans="1:22" ht="12.75">
      <c r="A14" s="77" t="s">
        <v>52</v>
      </c>
      <c r="B14" s="80" t="s">
        <v>320</v>
      </c>
      <c r="C14" s="323">
        <f>'2.a.1.óvodák'!AS14+'2.a.2.iskolák'!BB14</f>
        <v>0</v>
      </c>
      <c r="D14" s="338">
        <f>'2.a.1.óvodák'!AT14+'2.a.2.iskolák'!BC14</f>
        <v>0</v>
      </c>
      <c r="E14" s="326"/>
      <c r="F14" s="323"/>
      <c r="G14" s="318"/>
      <c r="H14" s="326"/>
      <c r="I14" s="323"/>
      <c r="J14" s="318"/>
      <c r="K14" s="326"/>
      <c r="L14" s="338"/>
      <c r="M14" s="318"/>
      <c r="N14" s="326"/>
      <c r="O14" s="323">
        <f t="shared" si="0"/>
        <v>0</v>
      </c>
      <c r="P14" s="338">
        <f t="shared" si="1"/>
        <v>0</v>
      </c>
      <c r="Q14" s="326"/>
      <c r="R14" s="323">
        <f t="shared" si="2"/>
        <v>0</v>
      </c>
      <c r="S14" s="338">
        <f t="shared" si="3"/>
        <v>0</v>
      </c>
      <c r="T14" s="326"/>
      <c r="U14" s="22"/>
      <c r="V14" s="22"/>
    </row>
    <row r="15" spans="1:22" ht="12.75">
      <c r="A15" s="77" t="s">
        <v>54</v>
      </c>
      <c r="B15" s="78" t="s">
        <v>321</v>
      </c>
      <c r="C15" s="323">
        <f>'2.a.1.óvodák'!AS15+'2.a.2.iskolák'!BB15</f>
        <v>3767017</v>
      </c>
      <c r="D15" s="338">
        <f>'2.a.1.óvodák'!AT15+'2.a.2.iskolák'!BC15</f>
        <v>3844771</v>
      </c>
      <c r="E15" s="326">
        <f>+D15/C15</f>
        <v>1.021</v>
      </c>
      <c r="F15" s="323">
        <f>F34-F5-F9-F10-F11-F12-F13-F14-F16-F17-F18-F19</f>
        <v>0</v>
      </c>
      <c r="G15" s="338">
        <f>G34-G5-G9-G10-G11-G12-G13-G14-G16-G17-G18-G19</f>
        <v>0</v>
      </c>
      <c r="H15" s="326"/>
      <c r="I15" s="323">
        <f>I34-I5-I9-I10-I11-I12-I13-I14-I16-I17-I18-I19</f>
        <v>387434</v>
      </c>
      <c r="J15" s="338">
        <f>J34-J5-J9-J10-J11-J12-J13-J14-J16-J17-J18-J19</f>
        <v>403524</v>
      </c>
      <c r="K15" s="326">
        <f>+J15/I15</f>
        <v>1.042</v>
      </c>
      <c r="L15" s="338">
        <f>L34-L5-L9-L10-L11-L12-L13-L14-L16-L17-L18-L19</f>
        <v>1698268</v>
      </c>
      <c r="M15" s="338">
        <f>M34-M5-M9-M10-M11-M12-M13-M14-M16-M17-M18-M19</f>
        <v>1850113</v>
      </c>
      <c r="N15" s="326">
        <f>+M15/L15</f>
        <v>1.089</v>
      </c>
      <c r="O15" s="323">
        <f t="shared" si="0"/>
        <v>2085702</v>
      </c>
      <c r="P15" s="338">
        <f t="shared" si="1"/>
        <v>2253637</v>
      </c>
      <c r="Q15" s="326">
        <f>+P15/O15</f>
        <v>1.081</v>
      </c>
      <c r="R15" s="323">
        <f t="shared" si="2"/>
        <v>5852719</v>
      </c>
      <c r="S15" s="338">
        <f t="shared" si="3"/>
        <v>6098408</v>
      </c>
      <c r="T15" s="326">
        <f>+S15/R15</f>
        <v>1.042</v>
      </c>
      <c r="U15" s="22"/>
      <c r="V15" s="22"/>
    </row>
    <row r="16" spans="1:22" ht="12.75">
      <c r="A16" s="77" t="s">
        <v>55</v>
      </c>
      <c r="B16" s="80" t="s">
        <v>53</v>
      </c>
      <c r="C16" s="323">
        <f>'2.a.1.óvodák'!AS16+'2.a.2.iskolák'!BB16</f>
        <v>0</v>
      </c>
      <c r="D16" s="338">
        <f>'2.a.1.óvodák'!AT16+'2.a.2.iskolák'!BC16</f>
        <v>0</v>
      </c>
      <c r="E16" s="326"/>
      <c r="F16" s="323"/>
      <c r="G16" s="318"/>
      <c r="H16" s="326"/>
      <c r="I16" s="323"/>
      <c r="J16" s="318"/>
      <c r="K16" s="326"/>
      <c r="L16" s="338"/>
      <c r="M16" s="318"/>
      <c r="N16" s="326"/>
      <c r="O16" s="323">
        <f t="shared" si="0"/>
        <v>0</v>
      </c>
      <c r="P16" s="338">
        <f t="shared" si="1"/>
        <v>0</v>
      </c>
      <c r="Q16" s="326"/>
      <c r="R16" s="323">
        <f t="shared" si="2"/>
        <v>0</v>
      </c>
      <c r="S16" s="338">
        <f t="shared" si="3"/>
        <v>0</v>
      </c>
      <c r="T16" s="326"/>
      <c r="U16" s="22"/>
      <c r="V16" s="22"/>
    </row>
    <row r="17" spans="1:22" ht="12.75">
      <c r="A17" s="77" t="s">
        <v>57</v>
      </c>
      <c r="B17" s="78" t="s">
        <v>322</v>
      </c>
      <c r="C17" s="323">
        <f>'2.a.1.óvodák'!AS17+'2.a.2.iskolák'!BB17</f>
        <v>0</v>
      </c>
      <c r="D17" s="338">
        <f>'2.a.1.óvodák'!AT17+'2.a.2.iskolák'!BC17</f>
        <v>0</v>
      </c>
      <c r="E17" s="326"/>
      <c r="F17" s="323"/>
      <c r="G17" s="318"/>
      <c r="H17" s="326"/>
      <c r="I17" s="323"/>
      <c r="J17" s="318"/>
      <c r="K17" s="326"/>
      <c r="L17" s="338"/>
      <c r="M17" s="318"/>
      <c r="N17" s="326"/>
      <c r="O17" s="323">
        <f t="shared" si="0"/>
        <v>0</v>
      </c>
      <c r="P17" s="338">
        <f t="shared" si="1"/>
        <v>0</v>
      </c>
      <c r="Q17" s="326"/>
      <c r="R17" s="323">
        <f t="shared" si="2"/>
        <v>0</v>
      </c>
      <c r="S17" s="338">
        <f t="shared" si="3"/>
        <v>0</v>
      </c>
      <c r="T17" s="326"/>
      <c r="U17" s="22"/>
      <c r="V17" s="22"/>
    </row>
    <row r="18" spans="1:22" ht="12.75">
      <c r="A18" s="77" t="s">
        <v>59</v>
      </c>
      <c r="B18" s="78" t="s">
        <v>56</v>
      </c>
      <c r="C18" s="323">
        <f>'2.a.1.óvodák'!AS18+'2.a.2.iskolák'!BB18</f>
        <v>0</v>
      </c>
      <c r="D18" s="338">
        <f>'2.a.1.óvodák'!AT18+'2.a.2.iskolák'!BC18</f>
        <v>0</v>
      </c>
      <c r="E18" s="326"/>
      <c r="F18" s="323"/>
      <c r="G18" s="318"/>
      <c r="H18" s="326"/>
      <c r="I18" s="323"/>
      <c r="J18" s="318"/>
      <c r="K18" s="326"/>
      <c r="L18" s="338"/>
      <c r="M18" s="318"/>
      <c r="N18" s="326"/>
      <c r="O18" s="323">
        <f t="shared" si="0"/>
        <v>0</v>
      </c>
      <c r="P18" s="338">
        <f t="shared" si="1"/>
        <v>0</v>
      </c>
      <c r="Q18" s="326"/>
      <c r="R18" s="323">
        <f t="shared" si="2"/>
        <v>0</v>
      </c>
      <c r="S18" s="338">
        <f t="shared" si="3"/>
        <v>0</v>
      </c>
      <c r="T18" s="326"/>
      <c r="U18" s="22"/>
      <c r="V18" s="22"/>
    </row>
    <row r="19" spans="1:22" ht="13.5" thickBot="1">
      <c r="A19" s="81" t="s">
        <v>61</v>
      </c>
      <c r="B19" s="82" t="s">
        <v>295</v>
      </c>
      <c r="C19" s="359">
        <f>'2.a.1.óvodák'!C19+'2.a.2.iskolák'!C19</f>
        <v>0</v>
      </c>
      <c r="D19" s="338">
        <f>'2.a.1.óvodák'!AT19+'2.a.2.iskolák'!BC19</f>
        <v>0</v>
      </c>
      <c r="E19" s="373"/>
      <c r="F19" s="374"/>
      <c r="G19" s="375"/>
      <c r="H19" s="373"/>
      <c r="I19" s="374"/>
      <c r="J19" s="375"/>
      <c r="K19" s="373"/>
      <c r="L19" s="376"/>
      <c r="M19" s="375"/>
      <c r="N19" s="373"/>
      <c r="O19" s="371">
        <f t="shared" si="0"/>
        <v>0</v>
      </c>
      <c r="P19" s="372">
        <f t="shared" si="1"/>
        <v>0</v>
      </c>
      <c r="Q19" s="373"/>
      <c r="R19" s="371">
        <f t="shared" si="2"/>
        <v>0</v>
      </c>
      <c r="S19" s="372">
        <f t="shared" si="3"/>
        <v>0</v>
      </c>
      <c r="T19" s="373"/>
      <c r="U19" s="22"/>
      <c r="V19" s="22"/>
    </row>
    <row r="20" spans="1:22" ht="14.25" thickBot="1" thickTop="1">
      <c r="A20" s="625" t="s">
        <v>63</v>
      </c>
      <c r="B20" s="83" t="s">
        <v>323</v>
      </c>
      <c r="C20" s="350">
        <f>SUM(C5,C9:C18)</f>
        <v>3832327</v>
      </c>
      <c r="D20" s="350">
        <f>SUM(D5,D9:D18)</f>
        <v>3911239</v>
      </c>
      <c r="E20" s="358">
        <f aca="true" t="shared" si="4" ref="E20:E37">+D20/C20</f>
        <v>1.021</v>
      </c>
      <c r="F20" s="350">
        <f>SUM(F5,F9:F19)</f>
        <v>246000</v>
      </c>
      <c r="G20" s="340">
        <f>SUM(G5,G9:G19)</f>
        <v>257275</v>
      </c>
      <c r="H20" s="358">
        <f>+G20/F20</f>
        <v>1.046</v>
      </c>
      <c r="I20" s="350">
        <f>SUM(I5,I9:I19)</f>
        <v>387434</v>
      </c>
      <c r="J20" s="340">
        <f>SUM(J5,J9:J19)</f>
        <v>403524</v>
      </c>
      <c r="K20" s="358">
        <f>+J20/I20</f>
        <v>1.042</v>
      </c>
      <c r="L20" s="340">
        <f>SUM(L5,L9:L19)</f>
        <v>2298037</v>
      </c>
      <c r="M20" s="340">
        <f>SUM(M5,M9:M19)</f>
        <v>2519232</v>
      </c>
      <c r="N20" s="358">
        <f>+M20/L20</f>
        <v>1.096</v>
      </c>
      <c r="O20" s="350">
        <f t="shared" si="0"/>
        <v>2931471</v>
      </c>
      <c r="P20" s="340">
        <f t="shared" si="1"/>
        <v>3180031</v>
      </c>
      <c r="Q20" s="358">
        <f>+P20/O20</f>
        <v>1.085</v>
      </c>
      <c r="R20" s="350">
        <f t="shared" si="2"/>
        <v>6763798</v>
      </c>
      <c r="S20" s="340">
        <f t="shared" si="3"/>
        <v>7091270</v>
      </c>
      <c r="T20" s="358">
        <f>+S20/R20</f>
        <v>1.048</v>
      </c>
      <c r="U20" s="177"/>
      <c r="V20" s="186"/>
    </row>
    <row r="21" spans="1:22" ht="12.75">
      <c r="A21" s="501" t="s">
        <v>58</v>
      </c>
      <c r="B21" s="502"/>
      <c r="C21" s="355"/>
      <c r="D21" s="365"/>
      <c r="E21" s="367"/>
      <c r="F21" s="347"/>
      <c r="G21" s="330"/>
      <c r="H21" s="351"/>
      <c r="I21" s="347"/>
      <c r="J21" s="330"/>
      <c r="K21" s="351"/>
      <c r="L21" s="336"/>
      <c r="M21" s="330"/>
      <c r="N21" s="351"/>
      <c r="O21" s="355"/>
      <c r="P21" s="365"/>
      <c r="Q21" s="367"/>
      <c r="R21" s="355"/>
      <c r="S21" s="365"/>
      <c r="T21" s="367"/>
      <c r="U21" s="177"/>
      <c r="V21" s="186"/>
    </row>
    <row r="22" spans="1:22" ht="12.75">
      <c r="A22" s="88" t="s">
        <v>64</v>
      </c>
      <c r="B22" s="89" t="s">
        <v>60</v>
      </c>
      <c r="C22" s="325">
        <f>SUM(C23:C28)</f>
        <v>3832327</v>
      </c>
      <c r="D22" s="319">
        <f>SUM(D23:D28)</f>
        <v>3911097</v>
      </c>
      <c r="E22" s="324">
        <f t="shared" si="4"/>
        <v>1.021</v>
      </c>
      <c r="F22" s="327">
        <f>SUM(F23:F28)</f>
        <v>246000</v>
      </c>
      <c r="G22" s="341">
        <f>SUM(G23:G28)</f>
        <v>257275</v>
      </c>
      <c r="H22" s="324">
        <f>+G22/F22</f>
        <v>1.046</v>
      </c>
      <c r="I22" s="327">
        <f>SUM(I23:I28)</f>
        <v>387434</v>
      </c>
      <c r="J22" s="341">
        <f>SUM(J23:J28)</f>
        <v>403524</v>
      </c>
      <c r="K22" s="324">
        <f>+J22/I22</f>
        <v>1.042</v>
      </c>
      <c r="L22" s="341">
        <f>SUM(L23:L28)</f>
        <v>2250564</v>
      </c>
      <c r="M22" s="341">
        <f>SUM(M23:M28)</f>
        <v>2480897</v>
      </c>
      <c r="N22" s="324">
        <f>+M22/L22</f>
        <v>1.102</v>
      </c>
      <c r="O22" s="325">
        <f aca="true" t="shared" si="5" ref="O22:O35">SUM(F22+I22+L22)</f>
        <v>2883998</v>
      </c>
      <c r="P22" s="337">
        <f t="shared" si="1"/>
        <v>3141696</v>
      </c>
      <c r="Q22" s="324">
        <f>+P22/O22</f>
        <v>1.089</v>
      </c>
      <c r="R22" s="325">
        <f t="shared" si="2"/>
        <v>6716325</v>
      </c>
      <c r="S22" s="337">
        <f t="shared" si="3"/>
        <v>7052793</v>
      </c>
      <c r="T22" s="324">
        <f>+S22/R22</f>
        <v>1.05</v>
      </c>
      <c r="U22" s="177"/>
      <c r="V22" s="186"/>
    </row>
    <row r="23" spans="1:22" ht="12.75">
      <c r="A23" s="77"/>
      <c r="B23" s="78" t="s">
        <v>200</v>
      </c>
      <c r="C23" s="323">
        <f>'2.a.1.óvodák'!AS23+'2.a.2.iskolák'!BB23</f>
        <v>2906272</v>
      </c>
      <c r="D23" s="318">
        <f>'2.a.1.óvodák'!AT23+'2.a.2.iskolák'!BC23</f>
        <v>2986723</v>
      </c>
      <c r="E23" s="326">
        <f t="shared" si="4"/>
        <v>1.028</v>
      </c>
      <c r="F23" s="323">
        <v>19124</v>
      </c>
      <c r="G23" s="318">
        <f>19525+227+1</f>
        <v>19753</v>
      </c>
      <c r="H23" s="326">
        <f>+G23/F23</f>
        <v>1.033</v>
      </c>
      <c r="I23" s="323">
        <v>280918</v>
      </c>
      <c r="J23" s="318">
        <f>293915+6451-491</f>
        <v>299875</v>
      </c>
      <c r="K23" s="326">
        <f>+J23/I23</f>
        <v>1.067</v>
      </c>
      <c r="L23" s="338">
        <v>385057</v>
      </c>
      <c r="M23" s="318">
        <v>394972</v>
      </c>
      <c r="N23" s="326">
        <f aca="true" t="shared" si="6" ref="N23:N30">+M23/L23</f>
        <v>1.026</v>
      </c>
      <c r="O23" s="323">
        <f t="shared" si="5"/>
        <v>685099</v>
      </c>
      <c r="P23" s="338">
        <f t="shared" si="1"/>
        <v>714600</v>
      </c>
      <c r="Q23" s="326">
        <f>+P23/O23</f>
        <v>1.043</v>
      </c>
      <c r="R23" s="323">
        <f t="shared" si="2"/>
        <v>3591371</v>
      </c>
      <c r="S23" s="338">
        <f t="shared" si="3"/>
        <v>3701323</v>
      </c>
      <c r="T23" s="326">
        <f>+S23/R23</f>
        <v>1.031</v>
      </c>
      <c r="U23" s="22"/>
      <c r="V23" s="22"/>
    </row>
    <row r="24" spans="1:22" ht="12.75">
      <c r="A24" s="77"/>
      <c r="B24" s="84" t="s">
        <v>201</v>
      </c>
      <c r="C24" s="323">
        <f>'2.a.1.óvodák'!AS24+'2.a.2.iskolák'!BB24</f>
        <v>775804</v>
      </c>
      <c r="D24" s="318">
        <f>'2.a.1.óvodák'!AT24+'2.a.2.iskolák'!BC24</f>
        <v>798140</v>
      </c>
      <c r="E24" s="326">
        <f t="shared" si="4"/>
        <v>1.029</v>
      </c>
      <c r="F24" s="323">
        <v>4731</v>
      </c>
      <c r="G24" s="318">
        <f>5226+61</f>
        <v>5287</v>
      </c>
      <c r="H24" s="326">
        <f>+G24/F24</f>
        <v>1.118</v>
      </c>
      <c r="I24" s="323">
        <v>75016</v>
      </c>
      <c r="J24" s="318">
        <f>78040+1742-133</f>
        <v>79649</v>
      </c>
      <c r="K24" s="326">
        <f>+J24/I24</f>
        <v>1.062</v>
      </c>
      <c r="L24" s="338">
        <v>98673</v>
      </c>
      <c r="M24" s="318">
        <v>99946</v>
      </c>
      <c r="N24" s="326">
        <f t="shared" si="6"/>
        <v>1.013</v>
      </c>
      <c r="O24" s="323">
        <f t="shared" si="5"/>
        <v>178420</v>
      </c>
      <c r="P24" s="338">
        <f t="shared" si="1"/>
        <v>184882</v>
      </c>
      <c r="Q24" s="326">
        <f>+P24/O24</f>
        <v>1.036</v>
      </c>
      <c r="R24" s="323">
        <f t="shared" si="2"/>
        <v>954224</v>
      </c>
      <c r="S24" s="338">
        <f t="shared" si="3"/>
        <v>983022</v>
      </c>
      <c r="T24" s="326">
        <f>+S24/R24</f>
        <v>1.03</v>
      </c>
      <c r="U24" s="22"/>
      <c r="V24" s="22"/>
    </row>
    <row r="25" spans="1:22" ht="12.75">
      <c r="A25" s="77"/>
      <c r="B25" s="78" t="s">
        <v>202</v>
      </c>
      <c r="C25" s="323">
        <f>'2.a.1.óvodák'!AS25+'2.a.2.iskolák'!BB25</f>
        <v>150251</v>
      </c>
      <c r="D25" s="318">
        <f>'2.a.1.óvodák'!AT25+'2.a.2.iskolák'!BC25</f>
        <v>126234</v>
      </c>
      <c r="E25" s="326">
        <f t="shared" si="4"/>
        <v>0.84</v>
      </c>
      <c r="F25" s="323">
        <v>67973</v>
      </c>
      <c r="G25" s="318">
        <v>68115</v>
      </c>
      <c r="H25" s="326">
        <f>+G25/F25</f>
        <v>1.002</v>
      </c>
      <c r="I25" s="323">
        <v>31500</v>
      </c>
      <c r="J25" s="318">
        <v>24000</v>
      </c>
      <c r="K25" s="326">
        <f>+J25/I25</f>
        <v>0.762</v>
      </c>
      <c r="L25" s="338">
        <v>1766834</v>
      </c>
      <c r="M25" s="318">
        <f>2060979-75000</f>
        <v>1985979</v>
      </c>
      <c r="N25" s="326">
        <f t="shared" si="6"/>
        <v>1.124</v>
      </c>
      <c r="O25" s="323">
        <f t="shared" si="5"/>
        <v>1866307</v>
      </c>
      <c r="P25" s="338">
        <f t="shared" si="1"/>
        <v>2078094</v>
      </c>
      <c r="Q25" s="326">
        <f>+P25/O25</f>
        <v>1.113</v>
      </c>
      <c r="R25" s="323">
        <f t="shared" si="2"/>
        <v>2016558</v>
      </c>
      <c r="S25" s="338">
        <f t="shared" si="3"/>
        <v>2204328</v>
      </c>
      <c r="T25" s="326">
        <f>+S25/R25</f>
        <v>1.093</v>
      </c>
      <c r="U25" s="22"/>
      <c r="V25" s="22"/>
    </row>
    <row r="26" spans="1:22" ht="12.75">
      <c r="A26" s="77"/>
      <c r="B26" s="78" t="s">
        <v>203</v>
      </c>
      <c r="C26" s="323">
        <f>'2.a.1.óvodák'!AS26+'2.a.2.iskolák'!BB26</f>
        <v>0</v>
      </c>
      <c r="D26" s="318">
        <f>'2.a.1.óvodák'!AT26+'2.a.2.iskolák'!BC26</f>
        <v>0</v>
      </c>
      <c r="E26" s="324"/>
      <c r="F26" s="323">
        <v>154172</v>
      </c>
      <c r="G26" s="318">
        <v>164120</v>
      </c>
      <c r="H26" s="326">
        <f>+G26/F26</f>
        <v>1.065</v>
      </c>
      <c r="I26" s="323"/>
      <c r="J26" s="318"/>
      <c r="K26" s="326"/>
      <c r="L26" s="338"/>
      <c r="M26" s="318"/>
      <c r="N26" s="326"/>
      <c r="O26" s="323">
        <f t="shared" si="5"/>
        <v>154172</v>
      </c>
      <c r="P26" s="338">
        <f t="shared" si="1"/>
        <v>164120</v>
      </c>
      <c r="Q26" s="326">
        <f>+P26/O26</f>
        <v>1.065</v>
      </c>
      <c r="R26" s="323">
        <f t="shared" si="2"/>
        <v>154172</v>
      </c>
      <c r="S26" s="338">
        <f t="shared" si="3"/>
        <v>164120</v>
      </c>
      <c r="T26" s="326">
        <f>+S26/R26</f>
        <v>1.065</v>
      </c>
      <c r="U26" s="22"/>
      <c r="V26" s="22"/>
    </row>
    <row r="27" spans="1:22" ht="12.75">
      <c r="A27" s="77"/>
      <c r="B27" s="78" t="s">
        <v>204</v>
      </c>
      <c r="C27" s="323">
        <f>'2.a.1.óvodák'!AS27+'2.a.2.iskolák'!BB27</f>
        <v>0</v>
      </c>
      <c r="D27" s="318">
        <f>'2.a.1.óvodák'!AT27+'2.a.2.iskolák'!BC27</f>
        <v>0</v>
      </c>
      <c r="E27" s="324"/>
      <c r="F27" s="323"/>
      <c r="G27" s="318"/>
      <c r="H27" s="326"/>
      <c r="I27" s="323"/>
      <c r="J27" s="318"/>
      <c r="K27" s="326"/>
      <c r="L27" s="338"/>
      <c r="M27" s="318"/>
      <c r="N27" s="326"/>
      <c r="O27" s="323">
        <f t="shared" si="5"/>
        <v>0</v>
      </c>
      <c r="P27" s="338">
        <f t="shared" si="1"/>
        <v>0</v>
      </c>
      <c r="Q27" s="326"/>
      <c r="R27" s="323">
        <f t="shared" si="2"/>
        <v>0</v>
      </c>
      <c r="S27" s="338">
        <f t="shared" si="3"/>
        <v>0</v>
      </c>
      <c r="T27" s="326"/>
      <c r="U27" s="22"/>
      <c r="V27" s="22"/>
    </row>
    <row r="28" spans="1:22" ht="12.75">
      <c r="A28" s="77"/>
      <c r="B28" s="78" t="s">
        <v>205</v>
      </c>
      <c r="C28" s="323">
        <f>'2.a.1.óvodák'!AS28+'2.a.2.iskolák'!BB28</f>
        <v>0</v>
      </c>
      <c r="D28" s="318">
        <f>'2.a.1.óvodák'!AT28+'2.a.2.iskolák'!BC28</f>
        <v>0</v>
      </c>
      <c r="E28" s="324"/>
      <c r="F28" s="323"/>
      <c r="G28" s="318"/>
      <c r="H28" s="326"/>
      <c r="I28" s="323"/>
      <c r="J28" s="318"/>
      <c r="K28" s="326"/>
      <c r="L28" s="338"/>
      <c r="M28" s="318"/>
      <c r="N28" s="326"/>
      <c r="O28" s="323">
        <f t="shared" si="5"/>
        <v>0</v>
      </c>
      <c r="P28" s="338">
        <f t="shared" si="1"/>
        <v>0</v>
      </c>
      <c r="Q28" s="326"/>
      <c r="R28" s="323">
        <f t="shared" si="2"/>
        <v>0</v>
      </c>
      <c r="S28" s="338">
        <f t="shared" si="3"/>
        <v>0</v>
      </c>
      <c r="T28" s="326"/>
      <c r="U28" s="22"/>
      <c r="V28" s="22"/>
    </row>
    <row r="29" spans="1:22" ht="12.75">
      <c r="A29" s="77" t="s">
        <v>66</v>
      </c>
      <c r="B29" s="78" t="s">
        <v>62</v>
      </c>
      <c r="C29" s="323">
        <f>'2.a.1.óvodák'!AS29+'2.a.2.iskolák'!BB29</f>
        <v>0</v>
      </c>
      <c r="D29" s="318">
        <f>'2.a.1.óvodák'!AT29+'2.a.2.iskolák'!BC29</f>
        <v>0</v>
      </c>
      <c r="E29" s="324"/>
      <c r="F29" s="323"/>
      <c r="G29" s="318"/>
      <c r="H29" s="326"/>
      <c r="I29" s="323"/>
      <c r="J29" s="318"/>
      <c r="K29" s="326"/>
      <c r="L29" s="338">
        <v>22473</v>
      </c>
      <c r="M29" s="318">
        <v>13335</v>
      </c>
      <c r="N29" s="326">
        <f t="shared" si="6"/>
        <v>0.593</v>
      </c>
      <c r="O29" s="323">
        <f t="shared" si="5"/>
        <v>22473</v>
      </c>
      <c r="P29" s="338">
        <f t="shared" si="1"/>
        <v>13335</v>
      </c>
      <c r="Q29" s="326">
        <f>+P29/O29</f>
        <v>0.593</v>
      </c>
      <c r="R29" s="323">
        <f t="shared" si="2"/>
        <v>22473</v>
      </c>
      <c r="S29" s="338">
        <f t="shared" si="3"/>
        <v>13335</v>
      </c>
      <c r="T29" s="326">
        <f>+S29/R29</f>
        <v>0.593</v>
      </c>
      <c r="U29" s="22"/>
      <c r="V29" s="22"/>
    </row>
    <row r="30" spans="1:22" ht="12.75">
      <c r="A30" s="77" t="s">
        <v>68</v>
      </c>
      <c r="B30" s="80" t="s">
        <v>446</v>
      </c>
      <c r="C30" s="323">
        <f>'2.a.1.óvodák'!AS30+'2.a.2.iskolák'!BB30</f>
        <v>0</v>
      </c>
      <c r="D30" s="318">
        <f>'2.a.1.óvodák'!AT30+'2.a.2.iskolák'!BC30</f>
        <v>142</v>
      </c>
      <c r="E30" s="324"/>
      <c r="F30" s="323"/>
      <c r="G30" s="318"/>
      <c r="H30" s="326"/>
      <c r="I30" s="323"/>
      <c r="J30" s="318"/>
      <c r="K30" s="326"/>
      <c r="L30" s="338">
        <v>25000</v>
      </c>
      <c r="M30" s="318">
        <v>25000</v>
      </c>
      <c r="N30" s="326">
        <f t="shared" si="6"/>
        <v>1</v>
      </c>
      <c r="O30" s="323">
        <f t="shared" si="5"/>
        <v>25000</v>
      </c>
      <c r="P30" s="338">
        <f t="shared" si="1"/>
        <v>25000</v>
      </c>
      <c r="Q30" s="326">
        <f>+P30/O30</f>
        <v>1</v>
      </c>
      <c r="R30" s="323">
        <f t="shared" si="2"/>
        <v>25000</v>
      </c>
      <c r="S30" s="338">
        <f t="shared" si="3"/>
        <v>25142</v>
      </c>
      <c r="T30" s="326">
        <f>+S30/R30</f>
        <v>1.006</v>
      </c>
      <c r="U30" s="22"/>
      <c r="V30" s="22"/>
    </row>
    <row r="31" spans="1:22" ht="12.75">
      <c r="A31" s="77" t="s">
        <v>70</v>
      </c>
      <c r="B31" s="78" t="s">
        <v>65</v>
      </c>
      <c r="C31" s="323">
        <f>'2.a.1.óvodák'!AS31+'2.a.2.iskolák'!BB31</f>
        <v>0</v>
      </c>
      <c r="D31" s="318">
        <f>'2.a.1.óvodák'!AT31+'2.a.2.iskolák'!BC31</f>
        <v>0</v>
      </c>
      <c r="E31" s="324"/>
      <c r="F31" s="323"/>
      <c r="G31" s="318"/>
      <c r="H31" s="326"/>
      <c r="I31" s="323"/>
      <c r="J31" s="318"/>
      <c r="K31" s="326"/>
      <c r="L31" s="338"/>
      <c r="M31" s="318"/>
      <c r="N31" s="326"/>
      <c r="O31" s="323">
        <f t="shared" si="5"/>
        <v>0</v>
      </c>
      <c r="P31" s="338">
        <f t="shared" si="1"/>
        <v>0</v>
      </c>
      <c r="Q31" s="326"/>
      <c r="R31" s="323">
        <f t="shared" si="2"/>
        <v>0</v>
      </c>
      <c r="S31" s="338">
        <f t="shared" si="3"/>
        <v>0</v>
      </c>
      <c r="T31" s="326"/>
      <c r="U31" s="22"/>
      <c r="V31" s="22"/>
    </row>
    <row r="32" spans="1:20" ht="12.75">
      <c r="A32" s="77" t="s">
        <v>183</v>
      </c>
      <c r="B32" s="78" t="s">
        <v>67</v>
      </c>
      <c r="C32" s="323">
        <f>'2.a.1.óvodák'!AS32+'2.a.2.iskolák'!BB32</f>
        <v>0</v>
      </c>
      <c r="D32" s="318">
        <f>'2.a.1.óvodák'!AT32+'2.a.2.iskolák'!BC32</f>
        <v>0</v>
      </c>
      <c r="E32" s="324"/>
      <c r="F32" s="328"/>
      <c r="G32" s="320"/>
      <c r="H32" s="326"/>
      <c r="I32" s="328"/>
      <c r="J32" s="320"/>
      <c r="K32" s="326"/>
      <c r="L32" s="342"/>
      <c r="M32" s="320"/>
      <c r="N32" s="326"/>
      <c r="O32" s="323">
        <f t="shared" si="5"/>
        <v>0</v>
      </c>
      <c r="P32" s="338">
        <f t="shared" si="1"/>
        <v>0</v>
      </c>
      <c r="Q32" s="326"/>
      <c r="R32" s="323">
        <f t="shared" si="2"/>
        <v>0</v>
      </c>
      <c r="S32" s="338">
        <f t="shared" si="3"/>
        <v>0</v>
      </c>
      <c r="T32" s="326"/>
    </row>
    <row r="33" spans="1:20" ht="13.5" thickBot="1">
      <c r="A33" s="81" t="s">
        <v>184</v>
      </c>
      <c r="B33" s="85" t="s">
        <v>69</v>
      </c>
      <c r="C33" s="371">
        <f>'2.a.1.óvodák'!C33+'2.a.2.iskolák'!C33</f>
        <v>0</v>
      </c>
      <c r="D33" s="318">
        <f>'2.a.1.óvodák'!AT33+'2.a.2.iskolák'!BC33</f>
        <v>0</v>
      </c>
      <c r="E33" s="324"/>
      <c r="F33" s="353"/>
      <c r="G33" s="334"/>
      <c r="H33" s="352"/>
      <c r="I33" s="353"/>
      <c r="J33" s="334"/>
      <c r="K33" s="352"/>
      <c r="L33" s="343"/>
      <c r="M33" s="334"/>
      <c r="N33" s="352"/>
      <c r="O33" s="371">
        <f t="shared" si="5"/>
        <v>0</v>
      </c>
      <c r="P33" s="372">
        <f t="shared" si="1"/>
        <v>0</v>
      </c>
      <c r="Q33" s="373"/>
      <c r="R33" s="371">
        <f t="shared" si="2"/>
        <v>0</v>
      </c>
      <c r="S33" s="372">
        <f t="shared" si="3"/>
        <v>0</v>
      </c>
      <c r="T33" s="373"/>
    </row>
    <row r="34" spans="1:20" ht="14.25" thickBot="1" thickTop="1">
      <c r="A34" s="171" t="s">
        <v>468</v>
      </c>
      <c r="B34" s="86" t="s">
        <v>324</v>
      </c>
      <c r="C34" s="354">
        <f>SUM(C22,C29:C33)</f>
        <v>3832327</v>
      </c>
      <c r="D34" s="477">
        <f>SUM(D22,D29:D33)</f>
        <v>3911239</v>
      </c>
      <c r="E34" s="364">
        <f t="shared" si="4"/>
        <v>1.021</v>
      </c>
      <c r="F34" s="354">
        <f>SUM(F22,F29:F33)</f>
        <v>246000</v>
      </c>
      <c r="G34" s="344">
        <f>SUM(G22,G29:G33)</f>
        <v>257275</v>
      </c>
      <c r="H34" s="357">
        <f>+G34/F34</f>
        <v>1.046</v>
      </c>
      <c r="I34" s="354">
        <f>SUM(I22,I29:I33)</f>
        <v>387434</v>
      </c>
      <c r="J34" s="344">
        <f>SUM(J22,J29:J33)</f>
        <v>403524</v>
      </c>
      <c r="K34" s="357">
        <f>+J34/I34</f>
        <v>1.042</v>
      </c>
      <c r="L34" s="344">
        <f>SUM(L22,L29:L33)</f>
        <v>2298037</v>
      </c>
      <c r="M34" s="344">
        <f>SUM(M22,M29:M33)</f>
        <v>2519232</v>
      </c>
      <c r="N34" s="357">
        <f>+M34/L34</f>
        <v>1.096</v>
      </c>
      <c r="O34" s="354">
        <f t="shared" si="5"/>
        <v>2931471</v>
      </c>
      <c r="P34" s="344">
        <f t="shared" si="1"/>
        <v>3180031</v>
      </c>
      <c r="Q34" s="364">
        <f>+P34/O34</f>
        <v>1.085</v>
      </c>
      <c r="R34" s="354">
        <f t="shared" si="2"/>
        <v>6763798</v>
      </c>
      <c r="S34" s="344">
        <f t="shared" si="3"/>
        <v>7091270</v>
      </c>
      <c r="T34" s="364">
        <f>+S34/R34</f>
        <v>1.048</v>
      </c>
    </row>
    <row r="35" spans="1:20" ht="14.25" thickBot="1" thickTop="1">
      <c r="A35" s="458"/>
      <c r="B35" s="500" t="s">
        <v>84</v>
      </c>
      <c r="C35" s="457">
        <f>SUM(C36:C37)</f>
        <v>1462.5</v>
      </c>
      <c r="D35" s="478">
        <f>SUM(D36:D37)</f>
        <v>1450</v>
      </c>
      <c r="E35" s="364">
        <f t="shared" si="4"/>
        <v>0.991</v>
      </c>
      <c r="F35" s="450">
        <v>14</v>
      </c>
      <c r="G35" s="450">
        <v>14</v>
      </c>
      <c r="H35" s="357">
        <f>+G35/F35</f>
        <v>1</v>
      </c>
      <c r="I35" s="450">
        <v>214.5</v>
      </c>
      <c r="J35" s="450">
        <v>222.5</v>
      </c>
      <c r="K35" s="357">
        <f>+J35/I35</f>
        <v>1.037</v>
      </c>
      <c r="L35" s="450">
        <v>72.4</v>
      </c>
      <c r="M35" s="450">
        <v>73.5</v>
      </c>
      <c r="N35" s="357">
        <f>+M35/L35</f>
        <v>1.015</v>
      </c>
      <c r="O35" s="461">
        <f t="shared" si="5"/>
        <v>300.9</v>
      </c>
      <c r="P35" s="674">
        <f>SUM(G35+J35+M35)</f>
        <v>310</v>
      </c>
      <c r="Q35" s="364">
        <f>+P35/O35</f>
        <v>1.03</v>
      </c>
      <c r="R35" s="450">
        <f>O35+C35</f>
        <v>1763.4</v>
      </c>
      <c r="S35" s="450">
        <f>P35+D35</f>
        <v>1760</v>
      </c>
      <c r="T35" s="364">
        <f>+S35/R35</f>
        <v>0.998</v>
      </c>
    </row>
    <row r="36" spans="1:20" ht="13.5" thickTop="1">
      <c r="A36" s="446"/>
      <c r="B36" s="447" t="s">
        <v>331</v>
      </c>
      <c r="C36" s="462">
        <f>'2.a.1.óvodák'!AS36+'2.a.2.iskolák'!BB36</f>
        <v>1024.5</v>
      </c>
      <c r="D36" s="479">
        <f>'2.a.1.óvodák'!AT36+'2.a.2.iskolák'!BC36</f>
        <v>1024.5</v>
      </c>
      <c r="E36" s="361">
        <f t="shared" si="4"/>
        <v>1</v>
      </c>
      <c r="F36" s="462"/>
      <c r="G36" s="451"/>
      <c r="H36" s="361"/>
      <c r="I36" s="462"/>
      <c r="J36" s="451"/>
      <c r="K36" s="361"/>
      <c r="L36" s="462"/>
      <c r="M36" s="451"/>
      <c r="N36" s="361"/>
      <c r="O36" s="462"/>
      <c r="P36" s="451"/>
      <c r="Q36" s="463"/>
      <c r="R36" s="462"/>
      <c r="S36" s="451"/>
      <c r="T36" s="463"/>
    </row>
    <row r="37" spans="1:20" ht="13.5" thickBot="1">
      <c r="A37" s="448"/>
      <c r="B37" s="449" t="s">
        <v>332</v>
      </c>
      <c r="C37" s="456">
        <f>'2.a.1.óvodák'!AS37+'2.a.2.iskolák'!BB37</f>
        <v>438</v>
      </c>
      <c r="D37" s="480">
        <f>'2.a.1.óvodák'!AT37+'2.a.2.iskolák'!BC37</f>
        <v>425.5</v>
      </c>
      <c r="E37" s="362">
        <f t="shared" si="4"/>
        <v>0.971</v>
      </c>
      <c r="F37" s="459"/>
      <c r="G37" s="460"/>
      <c r="H37" s="362"/>
      <c r="I37" s="459"/>
      <c r="J37" s="460"/>
      <c r="K37" s="362"/>
      <c r="L37" s="459"/>
      <c r="M37" s="460"/>
      <c r="N37" s="362"/>
      <c r="O37" s="459"/>
      <c r="P37" s="460"/>
      <c r="Q37" s="363"/>
      <c r="R37" s="459"/>
      <c r="S37" s="460"/>
      <c r="T37" s="363"/>
    </row>
    <row r="38" spans="1:20" ht="13.5" thickTop="1">
      <c r="A38" s="464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</row>
    <row r="43" ht="12.75">
      <c r="J43" s="1" t="s">
        <v>565</v>
      </c>
    </row>
  </sheetData>
  <sheetProtection/>
  <mergeCells count="8">
    <mergeCell ref="L1:N2"/>
    <mergeCell ref="O1:Q2"/>
    <mergeCell ref="R1:T2"/>
    <mergeCell ref="A3:B3"/>
    <mergeCell ref="A1:B2"/>
    <mergeCell ref="C1:E2"/>
    <mergeCell ref="F1:H2"/>
    <mergeCell ref="I1:K2"/>
  </mergeCells>
  <printOptions horizontalCentered="1" verticalCentered="1"/>
  <pageMargins left="0.7874015748031497" right="0.7874015748031497" top="1.141732283464567" bottom="0.984251968503937" header="0.5118110236220472" footer="0.5118110236220472"/>
  <pageSetup horizontalDpi="300" verticalDpi="300" orientation="landscape" paperSize="9" scale="83" r:id="rId1"/>
  <headerFooter alignWithMargins="0">
    <oddHeader>&amp;C&amp;"Times New Roman,Félkövér"A  9/2012. (II. 24.) önko. rendelethez
a Budapest Főváros IV. kerület Újpest Önkormányzat Gazdasági Intézményhez tartozó egyéb intézmények bevételeiről és kiadásairól&amp;R
&amp;"Times New Roman,Normál"2.a/3. sz. melléklet
eFt-ban</oddHeader>
    <oddFooter>&amp;C&amp;"Times New Roman,Normál"&amp;P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H30" sqref="H30"/>
    </sheetView>
  </sheetViews>
  <sheetFormatPr defaultColWidth="9.140625" defaultRowHeight="23.25" customHeight="1"/>
  <cols>
    <col min="1" max="1" width="33.00390625" style="400" bestFit="1" customWidth="1"/>
    <col min="2" max="2" width="13.8515625" style="1" bestFit="1" customWidth="1"/>
    <col min="3" max="3" width="13.57421875" style="1" customWidth="1"/>
    <col min="4" max="4" width="13.8515625" style="1" bestFit="1" customWidth="1"/>
    <col min="5" max="5" width="13.57421875" style="1" customWidth="1"/>
    <col min="6" max="16384" width="9.140625" style="1" customWidth="1"/>
  </cols>
  <sheetData>
    <row r="1" spans="1:5" ht="23.25" customHeight="1">
      <c r="A1" s="728" t="s">
        <v>373</v>
      </c>
      <c r="B1" s="730" t="s">
        <v>316</v>
      </c>
      <c r="C1" s="731"/>
      <c r="D1" s="731" t="s">
        <v>317</v>
      </c>
      <c r="E1" s="731"/>
    </row>
    <row r="2" spans="1:5" ht="27" customHeight="1" thickBot="1">
      <c r="A2" s="729"/>
      <c r="B2" s="404" t="s">
        <v>374</v>
      </c>
      <c r="C2" s="405" t="s">
        <v>375</v>
      </c>
      <c r="D2" s="526" t="s">
        <v>374</v>
      </c>
      <c r="E2" s="405" t="s">
        <v>375</v>
      </c>
    </row>
    <row r="3" spans="1:5" ht="30" customHeight="1">
      <c r="A3" s="401" t="s">
        <v>275</v>
      </c>
      <c r="B3" s="402">
        <f>3149+3479</f>
        <v>6628</v>
      </c>
      <c r="C3" s="403">
        <f>850+940</f>
        <v>1790</v>
      </c>
      <c r="D3" s="402">
        <v>4593</v>
      </c>
      <c r="E3" s="403">
        <v>1240</v>
      </c>
    </row>
    <row r="4" spans="1:5" ht="15" customHeight="1">
      <c r="A4" s="386" t="s">
        <v>80</v>
      </c>
      <c r="B4" s="387">
        <v>3299</v>
      </c>
      <c r="C4" s="385">
        <v>891</v>
      </c>
      <c r="D4" s="387">
        <v>1258</v>
      </c>
      <c r="E4" s="385">
        <v>340</v>
      </c>
    </row>
    <row r="5" spans="1:5" ht="15" customHeight="1">
      <c r="A5" s="386" t="s">
        <v>79</v>
      </c>
      <c r="B5" s="387">
        <v>1938</v>
      </c>
      <c r="C5" s="385">
        <v>524</v>
      </c>
      <c r="D5" s="387">
        <v>2307</v>
      </c>
      <c r="E5" s="385">
        <v>623</v>
      </c>
    </row>
    <row r="6" spans="1:5" ht="15" customHeight="1">
      <c r="A6" s="386" t="s">
        <v>276</v>
      </c>
      <c r="B6" s="387">
        <v>7587</v>
      </c>
      <c r="C6" s="385">
        <v>2048</v>
      </c>
      <c r="D6" s="387">
        <v>7384</v>
      </c>
      <c r="E6" s="385">
        <v>1994</v>
      </c>
    </row>
    <row r="7" spans="1:5" ht="15" customHeight="1">
      <c r="A7" s="386" t="s">
        <v>277</v>
      </c>
      <c r="B7" s="387">
        <v>3874</v>
      </c>
      <c r="C7" s="385">
        <v>1046</v>
      </c>
      <c r="D7" s="387">
        <v>3573</v>
      </c>
      <c r="E7" s="385">
        <v>965</v>
      </c>
    </row>
    <row r="8" spans="1:5" ht="15" customHeight="1">
      <c r="A8" s="383" t="s">
        <v>81</v>
      </c>
      <c r="B8" s="387">
        <v>1108</v>
      </c>
      <c r="C8" s="385">
        <v>299</v>
      </c>
      <c r="D8" s="387">
        <v>1927</v>
      </c>
      <c r="E8" s="385">
        <v>520</v>
      </c>
    </row>
    <row r="9" spans="1:5" ht="15" customHeight="1">
      <c r="A9" s="386" t="s">
        <v>376</v>
      </c>
      <c r="B9" s="387">
        <v>3939</v>
      </c>
      <c r="C9" s="385">
        <v>1064</v>
      </c>
      <c r="D9" s="387">
        <v>4051</v>
      </c>
      <c r="E9" s="385">
        <v>1094</v>
      </c>
    </row>
    <row r="10" spans="1:5" ht="15" customHeight="1">
      <c r="A10" s="383" t="s">
        <v>279</v>
      </c>
      <c r="B10" s="387">
        <v>2540</v>
      </c>
      <c r="C10" s="385">
        <v>685</v>
      </c>
      <c r="D10" s="387">
        <v>2981</v>
      </c>
      <c r="E10" s="385">
        <v>805</v>
      </c>
    </row>
    <row r="11" spans="1:5" ht="15" customHeight="1">
      <c r="A11" s="383" t="s">
        <v>82</v>
      </c>
      <c r="B11" s="387">
        <v>4408</v>
      </c>
      <c r="C11" s="385">
        <v>1190</v>
      </c>
      <c r="D11" s="387">
        <v>1883</v>
      </c>
      <c r="E11" s="385">
        <v>509</v>
      </c>
    </row>
    <row r="12" spans="1:5" ht="15" customHeight="1">
      <c r="A12" s="386" t="s">
        <v>280</v>
      </c>
      <c r="B12" s="387">
        <v>2789</v>
      </c>
      <c r="C12" s="385">
        <v>754</v>
      </c>
      <c r="D12" s="387">
        <v>1852</v>
      </c>
      <c r="E12" s="385">
        <v>500</v>
      </c>
    </row>
    <row r="13" spans="1:5" ht="15" customHeight="1">
      <c r="A13" s="386" t="s">
        <v>83</v>
      </c>
      <c r="B13" s="387">
        <v>6540</v>
      </c>
      <c r="C13" s="385">
        <v>1666</v>
      </c>
      <c r="D13" s="387">
        <v>6581</v>
      </c>
      <c r="E13" s="385">
        <v>1776</v>
      </c>
    </row>
    <row r="14" spans="1:5" ht="15" customHeight="1">
      <c r="A14" s="386" t="s">
        <v>283</v>
      </c>
      <c r="B14" s="387">
        <v>7051</v>
      </c>
      <c r="C14" s="385">
        <v>1903</v>
      </c>
      <c r="D14" s="387">
        <v>3985</v>
      </c>
      <c r="E14" s="385">
        <v>1076</v>
      </c>
    </row>
    <row r="15" spans="1:5" ht="15" customHeight="1">
      <c r="A15" s="386" t="s">
        <v>377</v>
      </c>
      <c r="B15" s="387">
        <v>7181</v>
      </c>
      <c r="C15" s="385">
        <v>1939</v>
      </c>
      <c r="D15" s="387">
        <v>4681</v>
      </c>
      <c r="E15" s="385">
        <v>1436</v>
      </c>
    </row>
    <row r="16" spans="1:5" ht="15" customHeight="1">
      <c r="A16" s="386" t="s">
        <v>378</v>
      </c>
      <c r="B16" s="387">
        <v>4824</v>
      </c>
      <c r="C16" s="385">
        <v>1302</v>
      </c>
      <c r="D16" s="387">
        <v>6544</v>
      </c>
      <c r="E16" s="385">
        <v>1761</v>
      </c>
    </row>
    <row r="17" spans="1:5" ht="15" customHeight="1">
      <c r="A17" s="386" t="s">
        <v>76</v>
      </c>
      <c r="B17" s="387">
        <v>2455</v>
      </c>
      <c r="C17" s="385">
        <v>663</v>
      </c>
      <c r="D17" s="387">
        <v>6459</v>
      </c>
      <c r="E17" s="385">
        <v>1744</v>
      </c>
    </row>
    <row r="18" spans="1:5" ht="15" customHeight="1">
      <c r="A18" s="388" t="s">
        <v>77</v>
      </c>
      <c r="B18" s="389">
        <v>3507</v>
      </c>
      <c r="C18" s="390">
        <v>947</v>
      </c>
      <c r="D18" s="389">
        <v>6944</v>
      </c>
      <c r="E18" s="390">
        <v>1875</v>
      </c>
    </row>
    <row r="19" spans="1:5" ht="15" customHeight="1" thickBot="1">
      <c r="A19" s="386" t="s">
        <v>281</v>
      </c>
      <c r="B19" s="384">
        <v>4477</v>
      </c>
      <c r="C19" s="385">
        <v>1209</v>
      </c>
      <c r="D19" s="384">
        <v>2824</v>
      </c>
      <c r="E19" s="385">
        <v>763</v>
      </c>
    </row>
    <row r="20" spans="1:5" ht="15" customHeight="1" thickBot="1">
      <c r="A20" s="391" t="s">
        <v>71</v>
      </c>
      <c r="B20" s="392">
        <f>SUM(B3:B19)</f>
        <v>74145</v>
      </c>
      <c r="C20" s="392">
        <f>SUM(C3:C19)</f>
        <v>19920</v>
      </c>
      <c r="D20" s="392">
        <f>SUM(D3:D19)</f>
        <v>69827</v>
      </c>
      <c r="E20" s="393">
        <f>SUM(E3:E19)</f>
        <v>19021</v>
      </c>
    </row>
    <row r="21" spans="1:5" ht="15" customHeight="1">
      <c r="A21" s="394" t="s">
        <v>262</v>
      </c>
      <c r="B21" s="387">
        <v>2941</v>
      </c>
      <c r="C21" s="385">
        <v>793</v>
      </c>
      <c r="D21" s="387">
        <v>1354</v>
      </c>
      <c r="E21" s="385">
        <v>366</v>
      </c>
    </row>
    <row r="22" spans="1:5" ht="15" customHeight="1">
      <c r="A22" s="386" t="s">
        <v>379</v>
      </c>
      <c r="B22" s="387">
        <v>2191</v>
      </c>
      <c r="C22" s="385">
        <v>592</v>
      </c>
      <c r="D22" s="387">
        <v>2164</v>
      </c>
      <c r="E22" s="385">
        <v>585</v>
      </c>
    </row>
    <row r="23" spans="1:5" ht="15" customHeight="1">
      <c r="A23" s="386" t="s">
        <v>449</v>
      </c>
      <c r="B23" s="387">
        <f>1534+1367</f>
        <v>2901</v>
      </c>
      <c r="C23" s="385">
        <f>414+370</f>
        <v>784</v>
      </c>
      <c r="D23" s="387">
        <v>3045</v>
      </c>
      <c r="E23" s="385">
        <v>822</v>
      </c>
    </row>
    <row r="24" spans="1:5" ht="15" customHeight="1">
      <c r="A24" s="386" t="s">
        <v>380</v>
      </c>
      <c r="B24" s="387">
        <v>777</v>
      </c>
      <c r="C24" s="385">
        <v>209</v>
      </c>
      <c r="D24" s="387">
        <v>924</v>
      </c>
      <c r="E24" s="385">
        <v>238</v>
      </c>
    </row>
    <row r="25" spans="1:5" ht="15" customHeight="1">
      <c r="A25" s="386" t="s">
        <v>381</v>
      </c>
      <c r="B25" s="387">
        <v>1365</v>
      </c>
      <c r="C25" s="385">
        <v>368</v>
      </c>
      <c r="D25" s="387">
        <v>2814</v>
      </c>
      <c r="E25" s="385">
        <v>759</v>
      </c>
    </row>
    <row r="26" spans="1:5" ht="15" customHeight="1">
      <c r="A26" s="386" t="s">
        <v>268</v>
      </c>
      <c r="B26" s="387">
        <v>1231</v>
      </c>
      <c r="C26" s="385">
        <v>332</v>
      </c>
      <c r="D26" s="387">
        <v>1456</v>
      </c>
      <c r="E26" s="385">
        <v>393</v>
      </c>
    </row>
    <row r="27" spans="1:5" ht="15" customHeight="1">
      <c r="A27" s="386" t="s">
        <v>269</v>
      </c>
      <c r="B27" s="387">
        <v>1467</v>
      </c>
      <c r="C27" s="385">
        <v>395</v>
      </c>
      <c r="D27" s="387">
        <v>1573</v>
      </c>
      <c r="E27" s="385">
        <v>425</v>
      </c>
    </row>
    <row r="28" spans="1:5" ht="15" customHeight="1">
      <c r="A28" s="386" t="s">
        <v>450</v>
      </c>
      <c r="B28" s="387">
        <f>1863+2407</f>
        <v>4270</v>
      </c>
      <c r="C28" s="385">
        <f>503+650</f>
        <v>1153</v>
      </c>
      <c r="D28" s="387">
        <v>3001</v>
      </c>
      <c r="E28" s="385">
        <v>810</v>
      </c>
    </row>
    <row r="29" spans="1:5" ht="15" customHeight="1">
      <c r="A29" s="386" t="s">
        <v>270</v>
      </c>
      <c r="B29" s="387">
        <v>1568</v>
      </c>
      <c r="C29" s="385">
        <v>424</v>
      </c>
      <c r="D29" s="387">
        <v>1648</v>
      </c>
      <c r="E29" s="385">
        <v>445</v>
      </c>
    </row>
    <row r="30" spans="1:5" ht="15" customHeight="1">
      <c r="A30" s="386" t="s">
        <v>271</v>
      </c>
      <c r="B30" s="387">
        <v>2091</v>
      </c>
      <c r="C30" s="385">
        <v>564</v>
      </c>
      <c r="D30" s="387">
        <v>852</v>
      </c>
      <c r="E30" s="385">
        <v>230</v>
      </c>
    </row>
    <row r="31" spans="1:5" ht="15" customHeight="1">
      <c r="A31" s="386" t="s">
        <v>451</v>
      </c>
      <c r="B31" s="387">
        <v>3214</v>
      </c>
      <c r="C31" s="385">
        <v>867</v>
      </c>
      <c r="D31" s="387">
        <v>3039</v>
      </c>
      <c r="E31" s="385">
        <v>820</v>
      </c>
    </row>
    <row r="32" spans="1:5" ht="15" customHeight="1">
      <c r="A32" s="386" t="s">
        <v>273</v>
      </c>
      <c r="B32" s="387">
        <v>1174</v>
      </c>
      <c r="C32" s="385">
        <v>317</v>
      </c>
      <c r="D32" s="387">
        <v>1456</v>
      </c>
      <c r="E32" s="385">
        <v>393</v>
      </c>
    </row>
    <row r="33" spans="1:5" ht="15" customHeight="1">
      <c r="A33" s="386" t="s">
        <v>274</v>
      </c>
      <c r="B33" s="387">
        <v>710</v>
      </c>
      <c r="C33" s="385">
        <v>192</v>
      </c>
      <c r="D33" s="387">
        <v>3249</v>
      </c>
      <c r="E33" s="385">
        <v>877</v>
      </c>
    </row>
    <row r="34" spans="1:5" ht="15" customHeight="1" thickBot="1">
      <c r="A34" s="388" t="s">
        <v>452</v>
      </c>
      <c r="B34" s="389">
        <f>1850+1009</f>
        <v>2859</v>
      </c>
      <c r="C34" s="390">
        <f>500+273</f>
        <v>773</v>
      </c>
      <c r="D34" s="389">
        <v>2805</v>
      </c>
      <c r="E34" s="390">
        <v>758</v>
      </c>
    </row>
    <row r="35" spans="1:5" ht="15" customHeight="1" thickBot="1">
      <c r="A35" s="391" t="s">
        <v>337</v>
      </c>
      <c r="B35" s="392">
        <f>SUM(B21:B34)</f>
        <v>28759</v>
      </c>
      <c r="C35" s="393">
        <f>SUM(C21:C34)</f>
        <v>7763</v>
      </c>
      <c r="D35" s="392">
        <f>SUM(D21:D34)</f>
        <v>29380</v>
      </c>
      <c r="E35" s="393">
        <f>SUM(E21:E34)</f>
        <v>7921</v>
      </c>
    </row>
    <row r="36" spans="1:5" ht="15" customHeight="1">
      <c r="A36" s="386" t="s">
        <v>382</v>
      </c>
      <c r="B36" s="387">
        <v>265</v>
      </c>
      <c r="C36" s="385">
        <v>72</v>
      </c>
      <c r="D36" s="387"/>
      <c r="E36" s="385"/>
    </row>
    <row r="37" spans="1:5" ht="15" customHeight="1" thickBot="1">
      <c r="A37" s="388" t="s">
        <v>445</v>
      </c>
      <c r="B37" s="389">
        <v>6855</v>
      </c>
      <c r="C37" s="390">
        <v>1851</v>
      </c>
      <c r="D37" s="389">
        <v>5960</v>
      </c>
      <c r="E37" s="390">
        <v>1609</v>
      </c>
    </row>
    <row r="38" spans="1:5" ht="30" customHeight="1" thickBot="1">
      <c r="A38" s="395" t="s">
        <v>580</v>
      </c>
      <c r="B38" s="396">
        <f>SUM(B36:B37)</f>
        <v>7120</v>
      </c>
      <c r="C38" s="397">
        <f>SUM(C36:C37)</f>
        <v>1923</v>
      </c>
      <c r="D38" s="396">
        <f>SUM(D36:D37)</f>
        <v>5960</v>
      </c>
      <c r="E38" s="397">
        <f>SUM(E36:E37)</f>
        <v>1609</v>
      </c>
    </row>
    <row r="39" spans="1:5" ht="15" customHeight="1" thickBot="1">
      <c r="A39" s="391" t="s">
        <v>198</v>
      </c>
      <c r="B39" s="398">
        <f>+B38+B35+B20</f>
        <v>110024</v>
      </c>
      <c r="C39" s="399">
        <f>+C38+C35+C20</f>
        <v>29606</v>
      </c>
      <c r="D39" s="398">
        <f>+D38+D35+D20</f>
        <v>105167</v>
      </c>
      <c r="E39" s="399">
        <f>+E38+E35+E20</f>
        <v>28551</v>
      </c>
    </row>
  </sheetData>
  <sheetProtection/>
  <mergeCells count="3">
    <mergeCell ref="A1:A2"/>
    <mergeCell ref="B1:C1"/>
    <mergeCell ref="D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&amp;C&amp;"Times New Roman,Félkövér"A  9/2012. (II. 24.) önko. rend.-hez a Bp. Főv. IV. ker. Újpest Önkorm. Gazdasági Intézmény önállóan működő intézményei felhasználási engedélyhez kötött előirányzatai&amp;R&amp;"Times New Roman,Normál"
2.b. melléklet
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547" customWidth="1"/>
    <col min="2" max="2" width="41.140625" style="248" bestFit="1" customWidth="1"/>
    <col min="3" max="3" width="15.8515625" style="248" customWidth="1"/>
    <col min="4" max="4" width="15.8515625" style="548" customWidth="1"/>
    <col min="5" max="5" width="9.7109375" style="248" customWidth="1"/>
    <col min="6" max="16384" width="9.140625" style="248" customWidth="1"/>
  </cols>
  <sheetData>
    <row r="1" spans="1:5" s="558" customFormat="1" ht="29.25" thickBot="1">
      <c r="A1" s="485" t="s">
        <v>87</v>
      </c>
      <c r="B1" s="307" t="s">
        <v>88</v>
      </c>
      <c r="C1" s="307" t="s">
        <v>316</v>
      </c>
      <c r="D1" s="570" t="s">
        <v>317</v>
      </c>
      <c r="E1" s="308" t="s">
        <v>35</v>
      </c>
    </row>
    <row r="2" spans="1:5" ht="15.75" thickBot="1">
      <c r="A2" s="485" t="s">
        <v>38</v>
      </c>
      <c r="B2" s="493" t="s">
        <v>43</v>
      </c>
      <c r="C2" s="493" t="s">
        <v>45</v>
      </c>
      <c r="D2" s="573" t="s">
        <v>47</v>
      </c>
      <c r="E2" s="494" t="s">
        <v>36</v>
      </c>
    </row>
    <row r="3" spans="1:5" ht="33" customHeight="1">
      <c r="A3" s="488"/>
      <c r="B3" s="489" t="s">
        <v>475</v>
      </c>
      <c r="C3" s="490"/>
      <c r="D3" s="571"/>
      <c r="E3" s="572"/>
    </row>
    <row r="4" spans="1:5" s="552" customFormat="1" ht="15">
      <c r="A4" s="565" t="s">
        <v>38</v>
      </c>
      <c r="B4" s="549" t="s">
        <v>34</v>
      </c>
      <c r="C4" s="550"/>
      <c r="D4" s="551"/>
      <c r="E4" s="566"/>
    </row>
    <row r="5" spans="1:5" s="552" customFormat="1" ht="30">
      <c r="A5" s="565" t="s">
        <v>43</v>
      </c>
      <c r="B5" s="557" t="s">
        <v>526</v>
      </c>
      <c r="C5" s="550"/>
      <c r="D5" s="551"/>
      <c r="E5" s="566"/>
    </row>
    <row r="6" spans="1:5" ht="15">
      <c r="A6" s="254"/>
      <c r="B6" s="251" t="s">
        <v>476</v>
      </c>
      <c r="C6" s="302"/>
      <c r="D6" s="545"/>
      <c r="E6" s="304"/>
    </row>
    <row r="7" spans="1:5" ht="15">
      <c r="A7" s="254"/>
      <c r="B7" s="251" t="s">
        <v>477</v>
      </c>
      <c r="C7" s="302"/>
      <c r="D7" s="545">
        <v>13335</v>
      </c>
      <c r="E7" s="304"/>
    </row>
    <row r="8" spans="1:5" s="552" customFormat="1" ht="15">
      <c r="A8" s="565" t="s">
        <v>45</v>
      </c>
      <c r="B8" s="549" t="s">
        <v>319</v>
      </c>
      <c r="C8" s="551">
        <v>22473</v>
      </c>
      <c r="D8" s="551">
        <f>SUM(D6:D7)</f>
        <v>13335</v>
      </c>
      <c r="E8" s="566">
        <f>D8/C8</f>
        <v>0.593</v>
      </c>
    </row>
    <row r="9" spans="1:5" s="552" customFormat="1" ht="15">
      <c r="A9" s="565" t="s">
        <v>47</v>
      </c>
      <c r="B9" s="549" t="s">
        <v>478</v>
      </c>
      <c r="C9" s="551">
        <v>3300</v>
      </c>
      <c r="D9" s="551"/>
      <c r="E9" s="566">
        <f>D9/C9</f>
        <v>0</v>
      </c>
    </row>
    <row r="10" spans="1:5" s="552" customFormat="1" ht="15">
      <c r="A10" s="565" t="s">
        <v>479</v>
      </c>
      <c r="B10" s="549" t="s">
        <v>480</v>
      </c>
      <c r="C10" s="551">
        <v>1600</v>
      </c>
      <c r="D10" s="551"/>
      <c r="E10" s="566">
        <f>D10/C10</f>
        <v>0</v>
      </c>
    </row>
    <row r="11" spans="1:5" s="552" customFormat="1" ht="15">
      <c r="A11" s="565" t="s">
        <v>50</v>
      </c>
      <c r="B11" s="553" t="s">
        <v>483</v>
      </c>
      <c r="C11" s="554"/>
      <c r="D11" s="554"/>
      <c r="E11" s="567"/>
    </row>
    <row r="12" spans="1:5" s="552" customFormat="1" ht="15" customHeight="1">
      <c r="A12" s="565" t="s">
        <v>52</v>
      </c>
      <c r="B12" s="555" t="s">
        <v>481</v>
      </c>
      <c r="C12" s="556"/>
      <c r="D12" s="556"/>
      <c r="E12" s="567"/>
    </row>
    <row r="13" spans="1:5" s="546" customFormat="1" ht="15" thickBot="1">
      <c r="A13" s="256"/>
      <c r="B13" s="568" t="s">
        <v>482</v>
      </c>
      <c r="C13" s="569">
        <f>SUM(C4,C5,C8,C9,C10,C11,C12)</f>
        <v>27373</v>
      </c>
      <c r="D13" s="569">
        <f>SUM(D4,D5,D8,D9,D10,D11,D12)</f>
        <v>13335</v>
      </c>
      <c r="E13" s="306">
        <f>D13/C13</f>
        <v>0.487</v>
      </c>
    </row>
  </sheetData>
  <sheetProtection/>
  <printOptions horizontalCentered="1" verticalCentered="1"/>
  <pageMargins left="1.5748031496062993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&amp;C&amp;"Times New Roman,Félkövér"&amp;12A  9/2012. (II. 24.) önko. rend.-hez a Bp. Főv. IV. ker. Újpest Önkormányzat  intézményei  költségvetésében megjelenő felújítási kiadásokról
&amp;R
3&amp;"Times New Roman,Normál".a.  melléklet
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</dc:creator>
  <cp:keywords/>
  <dc:description/>
  <cp:lastModifiedBy>Hudák Edina</cp:lastModifiedBy>
  <cp:lastPrinted>2012-02-24T08:55:51Z</cp:lastPrinted>
  <dcterms:created xsi:type="dcterms:W3CDTF">2007-01-13T09:28:10Z</dcterms:created>
  <dcterms:modified xsi:type="dcterms:W3CDTF">2012-05-22T06:47:37Z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